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730" windowHeight="9975"/>
  </bookViews>
  <sheets>
    <sheet name="Professores - Escola 12 Salas" sheetId="1" r:id="rId1"/>
    <sheet name="Professores - Escola 6 salas" sheetId="8" r:id="rId2"/>
    <sheet name="Limpeza - Escola 12 salas" sheetId="4" r:id="rId3"/>
    <sheet name="Limpeza - Escola 6 salas" sheetId="6" r:id="rId4"/>
    <sheet name="Limpeza - Creche 10 salas" sheetId="5" r:id="rId5"/>
    <sheet name="Custo Consolidado" sheetId="7" r:id="rId6"/>
  </sheets>
  <definedNames>
    <definedName name="fator_padrão">'Custo Consolidado'!$I$10</definedName>
  </definedNames>
  <calcPr calcId="144525"/>
</workbook>
</file>

<file path=xl/calcChain.xml><?xml version="1.0" encoding="utf-8"?>
<calcChain xmlns="http://schemas.openxmlformats.org/spreadsheetml/2006/main">
  <c r="E14" i="7" l="1"/>
  <c r="F29" i="7"/>
  <c r="F27" i="7"/>
  <c r="F24" i="7"/>
  <c r="F23" i="7"/>
  <c r="F28" i="7"/>
  <c r="F26" i="7"/>
  <c r="F25" i="7"/>
  <c r="F22" i="7"/>
  <c r="F20" i="7"/>
  <c r="F10" i="7"/>
  <c r="F11" i="7"/>
  <c r="F12" i="7"/>
  <c r="F13" i="7"/>
  <c r="F14" i="7"/>
  <c r="F9" i="7"/>
  <c r="F8" i="7"/>
  <c r="F7" i="7"/>
  <c r="F5" i="7"/>
  <c r="E28" i="7"/>
  <c r="E26" i="7"/>
  <c r="E25" i="7"/>
  <c r="E27" i="7"/>
  <c r="E29" i="7"/>
  <c r="E24" i="7"/>
  <c r="E23" i="7"/>
  <c r="E22" i="7"/>
  <c r="E20" i="7"/>
  <c r="E10" i="7"/>
  <c r="E11" i="7"/>
  <c r="E12" i="7"/>
  <c r="E13" i="7"/>
  <c r="E9" i="7"/>
  <c r="E8" i="7"/>
  <c r="E7" i="7"/>
  <c r="E5" i="7"/>
  <c r="H27" i="7"/>
  <c r="C20" i="8"/>
  <c r="D20" i="8" s="1"/>
  <c r="E19" i="8"/>
  <c r="D19" i="8"/>
  <c r="F19" i="8" s="1"/>
  <c r="G19" i="8" s="1"/>
  <c r="J19" i="8" s="1"/>
  <c r="I13" i="8"/>
  <c r="I34" i="8" s="1"/>
  <c r="H29" i="7" s="1"/>
  <c r="E13" i="8"/>
  <c r="F13" i="8" s="1"/>
  <c r="G13" i="8" s="1"/>
  <c r="I12" i="8"/>
  <c r="I33" i="8" s="1"/>
  <c r="H28" i="7" s="1"/>
  <c r="E12" i="8"/>
  <c r="F12" i="8" s="1"/>
  <c r="G12" i="8" s="1"/>
  <c r="I11" i="8"/>
  <c r="I32" i="8" s="1"/>
  <c r="E11" i="8"/>
  <c r="F11" i="8" s="1"/>
  <c r="G11" i="8" s="1"/>
  <c r="L11" i="8" s="1"/>
  <c r="D32" i="8" s="1"/>
  <c r="I10" i="8"/>
  <c r="I31" i="8" s="1"/>
  <c r="H26" i="7" s="1"/>
  <c r="E10" i="8"/>
  <c r="F10" i="8" s="1"/>
  <c r="G10" i="8" s="1"/>
  <c r="K10" i="8" s="1"/>
  <c r="C31" i="8" s="1"/>
  <c r="I9" i="8"/>
  <c r="I30" i="8" s="1"/>
  <c r="H25" i="7" s="1"/>
  <c r="E9" i="8"/>
  <c r="F9" i="8" s="1"/>
  <c r="G9" i="8" s="1"/>
  <c r="I8" i="8"/>
  <c r="I29" i="8" s="1"/>
  <c r="H24" i="7" s="1"/>
  <c r="E8" i="8"/>
  <c r="F8" i="8" s="1"/>
  <c r="G8" i="8" s="1"/>
  <c r="I7" i="8"/>
  <c r="I28" i="8" s="1"/>
  <c r="H23" i="7" s="1"/>
  <c r="E7" i="8"/>
  <c r="F7" i="8" s="1"/>
  <c r="G7" i="8" s="1"/>
  <c r="L7" i="8" s="1"/>
  <c r="D28" i="8" s="1"/>
  <c r="I6" i="8"/>
  <c r="I27" i="8" s="1"/>
  <c r="H22" i="7" s="1"/>
  <c r="E6" i="8"/>
  <c r="F6" i="8" s="1"/>
  <c r="G6" i="8" s="1"/>
  <c r="K6" i="8" s="1"/>
  <c r="C27" i="8" s="1"/>
  <c r="I4" i="8"/>
  <c r="I25" i="8" s="1"/>
  <c r="H20" i="7" s="1"/>
  <c r="E4" i="8"/>
  <c r="F4" i="8" s="1"/>
  <c r="G4" i="8" s="1"/>
  <c r="D4" i="6"/>
  <c r="F4" i="6" s="1"/>
  <c r="F5" i="6"/>
  <c r="F6" i="6"/>
  <c r="F7" i="6"/>
  <c r="D8" i="6"/>
  <c r="F8" i="6" s="1"/>
  <c r="D9" i="6"/>
  <c r="F9" i="6"/>
  <c r="F10" i="6"/>
  <c r="D15" i="6"/>
  <c r="F15" i="6"/>
  <c r="D16" i="6"/>
  <c r="F16" i="6" s="1"/>
  <c r="D17" i="6"/>
  <c r="F17" i="6"/>
  <c r="D18" i="6"/>
  <c r="F18" i="6" s="1"/>
  <c r="D19" i="6"/>
  <c r="F19" i="6"/>
  <c r="D20" i="6"/>
  <c r="F20" i="6" s="1"/>
  <c r="D21" i="6"/>
  <c r="F21" i="6"/>
  <c r="D26" i="6"/>
  <c r="F26" i="6" s="1"/>
  <c r="D27" i="6"/>
  <c r="F27" i="6" s="1"/>
  <c r="D32" i="6"/>
  <c r="F32" i="6"/>
  <c r="F33" i="6" s="1"/>
  <c r="F37" i="6"/>
  <c r="D38" i="6"/>
  <c r="F38" i="6"/>
  <c r="D4" i="5"/>
  <c r="F4" i="5" s="1"/>
  <c r="F5" i="5"/>
  <c r="D6" i="5"/>
  <c r="F6" i="5" s="1"/>
  <c r="D7" i="5"/>
  <c r="F7" i="5"/>
  <c r="F8" i="5"/>
  <c r="F9" i="5"/>
  <c r="D10" i="5"/>
  <c r="F10" i="5"/>
  <c r="D11" i="5"/>
  <c r="F11" i="5" s="1"/>
  <c r="D12" i="5"/>
  <c r="F12" i="5"/>
  <c r="D13" i="5"/>
  <c r="F13" i="5" s="1"/>
  <c r="D14" i="5"/>
  <c r="F14" i="5"/>
  <c r="D15" i="5"/>
  <c r="F15" i="5" s="1"/>
  <c r="D16" i="5"/>
  <c r="F16" i="5"/>
  <c r="F17" i="5"/>
  <c r="F18" i="5"/>
  <c r="D19" i="5"/>
  <c r="F19" i="5"/>
  <c r="F20" i="5"/>
  <c r="F21" i="5"/>
  <c r="D22" i="5"/>
  <c r="F22" i="5"/>
  <c r="D23" i="5"/>
  <c r="F23" i="5" s="1"/>
  <c r="D24" i="5"/>
  <c r="F24" i="5"/>
  <c r="D25" i="5"/>
  <c r="F25" i="5" s="1"/>
  <c r="D26" i="5"/>
  <c r="F26" i="5"/>
  <c r="F27" i="5"/>
  <c r="F28" i="5"/>
  <c r="F29" i="5"/>
  <c r="F30" i="5"/>
  <c r="D31" i="5"/>
  <c r="F31" i="5"/>
  <c r="F32" i="5"/>
  <c r="F33" i="5"/>
  <c r="D38" i="5"/>
  <c r="F38" i="5" s="1"/>
  <c r="D39" i="5"/>
  <c r="F39" i="5" s="1"/>
  <c r="D40" i="5"/>
  <c r="F40" i="5" s="1"/>
  <c r="D41" i="5"/>
  <c r="F41" i="5"/>
  <c r="D42" i="5"/>
  <c r="F42" i="5" s="1"/>
  <c r="F43" i="5"/>
  <c r="F44" i="5"/>
  <c r="D45" i="5"/>
  <c r="F45" i="5" s="1"/>
  <c r="F46" i="5"/>
  <c r="D47" i="5"/>
  <c r="F47" i="5"/>
  <c r="D48" i="5"/>
  <c r="F48" i="5" s="1"/>
  <c r="F49" i="5"/>
  <c r="D50" i="5"/>
  <c r="F50" i="5" s="1"/>
  <c r="D55" i="5"/>
  <c r="F55" i="5" s="1"/>
  <c r="F58" i="5" s="1"/>
  <c r="F56" i="5"/>
  <c r="D57" i="5"/>
  <c r="F57" i="5"/>
  <c r="D4" i="4"/>
  <c r="F4" i="4"/>
  <c r="D5" i="4"/>
  <c r="F5" i="4" s="1"/>
  <c r="D6" i="4"/>
  <c r="F6" i="4"/>
  <c r="D7" i="4"/>
  <c r="F7" i="4" s="1"/>
  <c r="D8" i="4"/>
  <c r="F8" i="4"/>
  <c r="D9" i="4"/>
  <c r="F9" i="4" s="1"/>
  <c r="D10" i="4"/>
  <c r="F10" i="4"/>
  <c r="F15" i="4"/>
  <c r="F17" i="4" s="1"/>
  <c r="F16" i="4"/>
  <c r="F21" i="4"/>
  <c r="F22" i="4"/>
  <c r="F23" i="4"/>
  <c r="F28" i="4"/>
  <c r="F29" i="4"/>
  <c r="F30" i="4"/>
  <c r="F31" i="4"/>
  <c r="F32" i="4"/>
  <c r="F33" i="4"/>
  <c r="F34" i="4"/>
  <c r="F35" i="4"/>
  <c r="F36" i="4"/>
  <c r="F37" i="4"/>
  <c r="F38" i="4"/>
  <c r="D43" i="4"/>
  <c r="F43" i="4" s="1"/>
  <c r="F46" i="4" s="1"/>
  <c r="F44" i="4"/>
  <c r="D45" i="4"/>
  <c r="F45" i="4"/>
  <c r="D50" i="4"/>
  <c r="F50" i="4"/>
  <c r="F51" i="4"/>
  <c r="D52" i="4"/>
  <c r="F52" i="4" s="1"/>
  <c r="D57" i="4"/>
  <c r="F57" i="4"/>
  <c r="F58" i="4"/>
  <c r="F60" i="4" s="1"/>
  <c r="D59" i="4"/>
  <c r="F59" i="4"/>
  <c r="F64" i="4"/>
  <c r="F65" i="4" s="1"/>
  <c r="F69" i="4"/>
  <c r="F70" i="4"/>
  <c r="F71" i="4"/>
  <c r="F22" i="6" l="1"/>
  <c r="F51" i="5"/>
  <c r="F34" i="5"/>
  <c r="F28" i="8"/>
  <c r="F32" i="8"/>
  <c r="F11" i="4"/>
  <c r="F72" i="4"/>
  <c r="F24" i="4"/>
  <c r="F39" i="4"/>
  <c r="F39" i="6"/>
  <c r="F11" i="6"/>
  <c r="F28" i="6"/>
  <c r="J4" i="8"/>
  <c r="L4" i="8"/>
  <c r="D25" i="8" s="1"/>
  <c r="F25" i="8" s="1"/>
  <c r="K4" i="8"/>
  <c r="C25" i="8" s="1"/>
  <c r="J9" i="8"/>
  <c r="L9" i="8"/>
  <c r="D30" i="8" s="1"/>
  <c r="F30" i="8" s="1"/>
  <c r="K9" i="8"/>
  <c r="C30" i="8" s="1"/>
  <c r="J13" i="8"/>
  <c r="L13" i="8"/>
  <c r="D34" i="8" s="1"/>
  <c r="F34" i="8" s="1"/>
  <c r="K13" i="8"/>
  <c r="C34" i="8" s="1"/>
  <c r="L8" i="8"/>
  <c r="D29" i="8" s="1"/>
  <c r="F29" i="8" s="1"/>
  <c r="K8" i="8"/>
  <c r="C29" i="8" s="1"/>
  <c r="J8" i="8"/>
  <c r="L12" i="8"/>
  <c r="D33" i="8" s="1"/>
  <c r="F33" i="8" s="1"/>
  <c r="K12" i="8"/>
  <c r="C33" i="8" s="1"/>
  <c r="J12" i="8"/>
  <c r="F20" i="8"/>
  <c r="G20" i="8" s="1"/>
  <c r="J20" i="8" s="1"/>
  <c r="E27" i="8" s="1"/>
  <c r="E20" i="8"/>
  <c r="L10" i="8"/>
  <c r="D31" i="8" s="1"/>
  <c r="F31" i="8" s="1"/>
  <c r="L6" i="8"/>
  <c r="D27" i="8" s="1"/>
  <c r="F27" i="8" s="1"/>
  <c r="J7" i="8"/>
  <c r="J11" i="8"/>
  <c r="J6" i="8"/>
  <c r="K7" i="8"/>
  <c r="C28" i="8" s="1"/>
  <c r="J10" i="8"/>
  <c r="K11" i="8"/>
  <c r="C32" i="8" s="1"/>
  <c r="E32" i="8" s="1"/>
  <c r="G32" i="8" s="1"/>
  <c r="H32" i="8" s="1"/>
  <c r="C27" i="7" s="1"/>
  <c r="H3" i="5"/>
  <c r="I3" i="5" s="1"/>
  <c r="I6" i="5" s="1"/>
  <c r="J6" i="5" s="1"/>
  <c r="F53" i="4"/>
  <c r="H3" i="4" s="1"/>
  <c r="I3" i="4" s="1"/>
  <c r="I6" i="4" s="1"/>
  <c r="J6" i="4" s="1"/>
  <c r="H3" i="6"/>
  <c r="I3" i="6" s="1"/>
  <c r="I6" i="6" s="1"/>
  <c r="J6" i="6" s="1"/>
  <c r="D27" i="7" l="1"/>
  <c r="D23" i="7"/>
  <c r="D26" i="7"/>
  <c r="D29" i="7"/>
  <c r="D25" i="7"/>
  <c r="D28" i="7"/>
  <c r="D24" i="7"/>
  <c r="G27" i="8"/>
  <c r="H27" i="8" s="1"/>
  <c r="C22" i="7" s="1"/>
  <c r="D22" i="7"/>
  <c r="D20" i="7"/>
  <c r="D5" i="7"/>
  <c r="D7" i="7"/>
  <c r="D14" i="7"/>
  <c r="D10" i="7"/>
  <c r="D13" i="7"/>
  <c r="D9" i="7"/>
  <c r="D12" i="7"/>
  <c r="D8" i="7"/>
  <c r="D11" i="7"/>
  <c r="J27" i="8"/>
  <c r="K27" i="8"/>
  <c r="E33" i="8"/>
  <c r="G33" i="8" s="1"/>
  <c r="H33" i="8" s="1"/>
  <c r="C28" i="7" s="1"/>
  <c r="E31" i="8"/>
  <c r="G31" i="8" s="1"/>
  <c r="H31" i="8" s="1"/>
  <c r="C26" i="7" s="1"/>
  <c r="K32" i="8"/>
  <c r="J32" i="8"/>
  <c r="M32" i="8"/>
  <c r="L32" i="8"/>
  <c r="E34" i="8"/>
  <c r="G34" i="8" s="1"/>
  <c r="H34" i="8" s="1"/>
  <c r="C29" i="7" s="1"/>
  <c r="E30" i="8"/>
  <c r="G30" i="8" s="1"/>
  <c r="H30" i="8" s="1"/>
  <c r="C25" i="7" s="1"/>
  <c r="E25" i="8"/>
  <c r="G25" i="8" s="1"/>
  <c r="H25" i="8" s="1"/>
  <c r="C20" i="7" s="1"/>
  <c r="G20" i="7" s="1"/>
  <c r="E28" i="8"/>
  <c r="G28" i="8" s="1"/>
  <c r="H28" i="8" s="1"/>
  <c r="C23" i="7" s="1"/>
  <c r="E29" i="8"/>
  <c r="G29" i="8" s="1"/>
  <c r="H29" i="8" s="1"/>
  <c r="C24" i="7" s="1"/>
  <c r="L27" i="8" l="1"/>
  <c r="K20" i="7"/>
  <c r="J20" i="7"/>
  <c r="I20" i="7"/>
  <c r="L20" i="7"/>
  <c r="M27" i="8"/>
  <c r="M30" i="8"/>
  <c r="L30" i="8"/>
  <c r="K30" i="8"/>
  <c r="J30" i="8"/>
  <c r="M34" i="8"/>
  <c r="L34" i="8"/>
  <c r="K34" i="8"/>
  <c r="J34" i="8"/>
  <c r="K28" i="8"/>
  <c r="J28" i="8"/>
  <c r="M28" i="8"/>
  <c r="L28" i="8"/>
  <c r="J31" i="8"/>
  <c r="M31" i="8"/>
  <c r="L31" i="8"/>
  <c r="K31" i="8"/>
  <c r="L29" i="8"/>
  <c r="K29" i="8"/>
  <c r="J29" i="8"/>
  <c r="M29" i="8"/>
  <c r="M25" i="8"/>
  <c r="L25" i="8"/>
  <c r="K25" i="8"/>
  <c r="J25" i="8"/>
  <c r="L33" i="8"/>
  <c r="K33" i="8"/>
  <c r="J33" i="8"/>
  <c r="M33" i="8"/>
  <c r="I6" i="1" l="1"/>
  <c r="I27" i="1" s="1"/>
  <c r="I7" i="1"/>
  <c r="I28" i="1" s="1"/>
  <c r="I8" i="1"/>
  <c r="I29" i="1" s="1"/>
  <c r="I9" i="1"/>
  <c r="I30" i="1" s="1"/>
  <c r="I10" i="1"/>
  <c r="I31" i="1" s="1"/>
  <c r="I11" i="1"/>
  <c r="I32" i="1" s="1"/>
  <c r="I12" i="1"/>
  <c r="I33" i="1" s="1"/>
  <c r="I13" i="1"/>
  <c r="I34" i="1" s="1"/>
  <c r="I4" i="1"/>
  <c r="I25" i="1" s="1"/>
  <c r="H5" i="7" s="1"/>
  <c r="H14" i="7" l="1"/>
  <c r="H13" i="7"/>
  <c r="H12" i="7"/>
  <c r="H11" i="7"/>
  <c r="H10" i="7"/>
  <c r="H9" i="7"/>
  <c r="H8" i="7"/>
  <c r="H7" i="7"/>
  <c r="D19" i="1"/>
  <c r="E19" i="1" s="1"/>
  <c r="F19" i="1" l="1"/>
  <c r="G19" i="1" s="1"/>
  <c r="C20" i="1"/>
  <c r="D20" i="1" l="1"/>
  <c r="E20" i="1" s="1"/>
  <c r="J19" i="1"/>
  <c r="E13" i="1"/>
  <c r="F13" i="1" s="1"/>
  <c r="E12" i="1"/>
  <c r="F12" i="1" s="1"/>
  <c r="E11" i="1"/>
  <c r="F11" i="1" s="1"/>
  <c r="E9" i="1"/>
  <c r="F9" i="1" s="1"/>
  <c r="E10" i="1"/>
  <c r="F10" i="1" s="1"/>
  <c r="E7" i="1"/>
  <c r="F7" i="1" s="1"/>
  <c r="E8" i="1"/>
  <c r="F8" i="1" s="1"/>
  <c r="E6" i="1"/>
  <c r="F6" i="1" s="1"/>
  <c r="F20" i="1" l="1"/>
  <c r="G20" i="1" s="1"/>
  <c r="G13" i="1"/>
  <c r="G9" i="1"/>
  <c r="G11" i="1"/>
  <c r="G10" i="1"/>
  <c r="G8" i="1"/>
  <c r="G7" i="1"/>
  <c r="G6" i="1"/>
  <c r="L11" i="1" l="1"/>
  <c r="D32" i="1" s="1"/>
  <c r="K11" i="1"/>
  <c r="C32" i="1" s="1"/>
  <c r="L9" i="1"/>
  <c r="D30" i="1" s="1"/>
  <c r="K9" i="1"/>
  <c r="C30" i="1" s="1"/>
  <c r="L13" i="1"/>
  <c r="D34" i="1" s="1"/>
  <c r="K13" i="1"/>
  <c r="C34" i="1" s="1"/>
  <c r="L6" i="1"/>
  <c r="D27" i="1" s="1"/>
  <c r="K6" i="1"/>
  <c r="C27" i="1" s="1"/>
  <c r="L7" i="1"/>
  <c r="D28" i="1" s="1"/>
  <c r="K7" i="1"/>
  <c r="C28" i="1" s="1"/>
  <c r="K8" i="1"/>
  <c r="C29" i="1" s="1"/>
  <c r="L8" i="1"/>
  <c r="D29" i="1" s="1"/>
  <c r="L10" i="1"/>
  <c r="D31" i="1" s="1"/>
  <c r="K10" i="1"/>
  <c r="C31" i="1" s="1"/>
  <c r="J11" i="1"/>
  <c r="J9" i="1"/>
  <c r="J13" i="1"/>
  <c r="J6" i="1"/>
  <c r="J7" i="1"/>
  <c r="J8" i="1"/>
  <c r="J10" i="1"/>
  <c r="J20" i="1"/>
  <c r="G12" i="1"/>
  <c r="K12" i="1" l="1"/>
  <c r="C33" i="1" s="1"/>
  <c r="L12" i="1"/>
  <c r="D33" i="1" s="1"/>
  <c r="J12" i="1"/>
  <c r="E27" i="1"/>
  <c r="F27" i="1"/>
  <c r="F31" i="1"/>
  <c r="E31" i="1"/>
  <c r="E29" i="1"/>
  <c r="F29" i="1"/>
  <c r="F32" i="1"/>
  <c r="E32" i="1"/>
  <c r="E34" i="1"/>
  <c r="F34" i="1"/>
  <c r="E30" i="1"/>
  <c r="F30" i="1"/>
  <c r="F28" i="1"/>
  <c r="E28" i="1"/>
  <c r="E4" i="1"/>
  <c r="F4" i="1" s="1"/>
  <c r="G32" i="1" l="1"/>
  <c r="H32" i="1" s="1"/>
  <c r="G27" i="7" s="1"/>
  <c r="G28" i="1"/>
  <c r="H28" i="1" s="1"/>
  <c r="G23" i="7" s="1"/>
  <c r="G27" i="1"/>
  <c r="G29" i="1"/>
  <c r="G34" i="1"/>
  <c r="G30" i="1"/>
  <c r="G31" i="1"/>
  <c r="F33" i="1"/>
  <c r="E33" i="1"/>
  <c r="J27" i="7" l="1"/>
  <c r="K27" i="7"/>
  <c r="L27" i="7"/>
  <c r="I27" i="7"/>
  <c r="J23" i="7"/>
  <c r="L23" i="7"/>
  <c r="I23" i="7"/>
  <c r="K23" i="7"/>
  <c r="C12" i="7"/>
  <c r="G12" i="7" s="1"/>
  <c r="M32" i="1"/>
  <c r="C8" i="7"/>
  <c r="G8" i="7" s="1"/>
  <c r="M28" i="1"/>
  <c r="K28" i="1"/>
  <c r="L28" i="1"/>
  <c r="K32" i="1"/>
  <c r="L32" i="1"/>
  <c r="J32" i="1"/>
  <c r="J28" i="1"/>
  <c r="H30" i="1"/>
  <c r="G25" i="7" s="1"/>
  <c r="H27" i="1"/>
  <c r="G22" i="7" s="1"/>
  <c r="H34" i="1"/>
  <c r="G29" i="7" s="1"/>
  <c r="H29" i="1"/>
  <c r="G24" i="7" s="1"/>
  <c r="H31" i="1"/>
  <c r="G26" i="7" s="1"/>
  <c r="G33" i="1"/>
  <c r="H33" i="1" s="1"/>
  <c r="G28" i="7" s="1"/>
  <c r="G4" i="1"/>
  <c r="L29" i="7" l="1"/>
  <c r="J29" i="7"/>
  <c r="K29" i="7"/>
  <c r="I29" i="7"/>
  <c r="K28" i="7"/>
  <c r="L28" i="7"/>
  <c r="J28" i="7"/>
  <c r="I28" i="7"/>
  <c r="I26" i="7"/>
  <c r="J26" i="7"/>
  <c r="L26" i="7"/>
  <c r="K26" i="7"/>
  <c r="L25" i="7"/>
  <c r="I25" i="7"/>
  <c r="K25" i="7"/>
  <c r="J25" i="7"/>
  <c r="K24" i="7"/>
  <c r="L24" i="7"/>
  <c r="J24" i="7"/>
  <c r="I24" i="7"/>
  <c r="I22" i="7"/>
  <c r="K22" i="7"/>
  <c r="J22" i="7"/>
  <c r="L22" i="7"/>
  <c r="C14" i="7"/>
  <c r="G14" i="7" s="1"/>
  <c r="M34" i="1"/>
  <c r="C13" i="7"/>
  <c r="G13" i="7" s="1"/>
  <c r="M33" i="1"/>
  <c r="L12" i="7"/>
  <c r="I12" i="7"/>
  <c r="J12" i="7"/>
  <c r="K12" i="7"/>
  <c r="M31" i="1"/>
  <c r="C11" i="7"/>
  <c r="G11" i="7" s="1"/>
  <c r="C10" i="7"/>
  <c r="G10" i="7" s="1"/>
  <c r="M30" i="1"/>
  <c r="C9" i="7"/>
  <c r="G9" i="7" s="1"/>
  <c r="M29" i="1"/>
  <c r="L8" i="7"/>
  <c r="I8" i="7"/>
  <c r="J8" i="7"/>
  <c r="K8" i="7"/>
  <c r="C7" i="7"/>
  <c r="G7" i="7" s="1"/>
  <c r="M27" i="1"/>
  <c r="K27" i="1"/>
  <c r="L27" i="1"/>
  <c r="K33" i="1"/>
  <c r="L33" i="1"/>
  <c r="K31" i="1"/>
  <c r="L31" i="1"/>
  <c r="K30" i="1"/>
  <c r="L30" i="1"/>
  <c r="K29" i="1"/>
  <c r="L29" i="1"/>
  <c r="K34" i="1"/>
  <c r="L34" i="1"/>
  <c r="J29" i="1"/>
  <c r="J33" i="1"/>
  <c r="J34" i="1"/>
  <c r="J27" i="1"/>
  <c r="J31" i="1"/>
  <c r="J30" i="1"/>
  <c r="L4" i="1"/>
  <c r="D25" i="1" s="1"/>
  <c r="F25" i="1" s="1"/>
  <c r="K4" i="1"/>
  <c r="C25" i="1" s="1"/>
  <c r="E25" i="1" s="1"/>
  <c r="J4" i="1"/>
  <c r="L14" i="7" l="1"/>
  <c r="I14" i="7"/>
  <c r="K14" i="7"/>
  <c r="J14" i="7"/>
  <c r="L13" i="7"/>
  <c r="J13" i="7"/>
  <c r="I13" i="7"/>
  <c r="K13" i="7"/>
  <c r="L11" i="7"/>
  <c r="K11" i="7"/>
  <c r="J11" i="7"/>
  <c r="I11" i="7"/>
  <c r="L10" i="7"/>
  <c r="K10" i="7"/>
  <c r="J10" i="7"/>
  <c r="I10" i="7"/>
  <c r="M10" i="7" s="1"/>
  <c r="L9" i="7"/>
  <c r="J9" i="7"/>
  <c r="I9" i="7"/>
  <c r="K9" i="7"/>
  <c r="K7" i="7"/>
  <c r="J7" i="7"/>
  <c r="I7" i="7"/>
  <c r="L7" i="7"/>
  <c r="G25" i="1"/>
  <c r="H25" i="1" s="1"/>
  <c r="C5" i="7" s="1"/>
  <c r="G5" i="7" s="1"/>
  <c r="M7" i="7" l="1"/>
  <c r="M9" i="7"/>
  <c r="M13" i="7"/>
  <c r="M8" i="7"/>
  <c r="M11" i="7"/>
  <c r="M14" i="7"/>
  <c r="M12" i="7"/>
  <c r="J5" i="7"/>
  <c r="I5" i="7"/>
  <c r="M5" i="7" s="1"/>
  <c r="K5" i="7"/>
  <c r="L5" i="7"/>
  <c r="L25" i="1"/>
  <c r="M25" i="1"/>
  <c r="K25" i="1"/>
  <c r="J25" i="1"/>
</calcChain>
</file>

<file path=xl/sharedStrings.xml><?xml version="1.0" encoding="utf-8"?>
<sst xmlns="http://schemas.openxmlformats.org/spreadsheetml/2006/main" count="398" uniqueCount="149">
  <si>
    <t>Etapas e Modalidades da Educaçao Básica</t>
  </si>
  <si>
    <t>Creche em tempo integral</t>
  </si>
  <si>
    <t>Pública</t>
  </si>
  <si>
    <t>Creche em tempo parcial</t>
  </si>
  <si>
    <t>Pré-escola em tempo integral</t>
  </si>
  <si>
    <t>Pré-escola em tempo parcial</t>
  </si>
  <si>
    <t>Anos iniciais do Ensino Fundamental urbano</t>
  </si>
  <si>
    <t>Anos finais do ensino fundamental urbana</t>
  </si>
  <si>
    <t>Ensino Fundamental em tempo integral</t>
  </si>
  <si>
    <t>Ensino Médio urbano</t>
  </si>
  <si>
    <t>Ensino Médio em tempo integral</t>
  </si>
  <si>
    <t>Nº de Turmas</t>
  </si>
  <si>
    <t>Horas Dia</t>
  </si>
  <si>
    <t>Classe</t>
  </si>
  <si>
    <t>Nível I</t>
  </si>
  <si>
    <t>Nível II</t>
  </si>
  <si>
    <t>Fonte:http://www.observatoriodopne.org.br/metas-pne/15-formacao-professores/indicadores</t>
  </si>
  <si>
    <t>Nº de alunos por turma</t>
  </si>
  <si>
    <t>Total de alunos</t>
  </si>
  <si>
    <t>Relação professor/aluno</t>
  </si>
  <si>
    <t>Horas por Semana (horas dia x 5 dias)</t>
  </si>
  <si>
    <t>Vencimento inicial</t>
  </si>
  <si>
    <t>Vencimento final</t>
  </si>
  <si>
    <t>Dispersão</t>
  </si>
  <si>
    <t>Média de vencimento mês</t>
  </si>
  <si>
    <t>Vantagens pecuniárias 20%</t>
  </si>
  <si>
    <t>Custo ano</t>
  </si>
  <si>
    <t>Valor</t>
  </si>
  <si>
    <t>75% professores com nível superior*</t>
  </si>
  <si>
    <t>25%  profesores com nível médio*</t>
  </si>
  <si>
    <t>custo médio ano nível médio</t>
  </si>
  <si>
    <t>custo médio ano nível superior</t>
  </si>
  <si>
    <t>Total</t>
  </si>
  <si>
    <t>Numero de alunos total</t>
  </si>
  <si>
    <t>Horas que precisam ser contratadas considerando hora-atividade</t>
  </si>
  <si>
    <t>Nº Professores necessarios 40h</t>
  </si>
  <si>
    <t>Total custo +25% de profissionais em suporte a docencia</t>
  </si>
  <si>
    <t>Recurso necessario para pagar profissional do magisterio por aluno comprometendo 100%</t>
  </si>
  <si>
    <t>Recurso necessario para pagar profissional do magisterio por aluno comprometendo 90%</t>
  </si>
  <si>
    <t>Recurso necessario para pagar profissional do magisterio por aluno comprometendo 80%</t>
  </si>
  <si>
    <t>Recurso necessario para pagar profissional do magisterio por aluno comprometendo 70%</t>
  </si>
  <si>
    <t>Passarela 3</t>
  </si>
  <si>
    <t>Passarela 2</t>
  </si>
  <si>
    <t>Passarela 1</t>
  </si>
  <si>
    <t>Área total</t>
  </si>
  <si>
    <t>Quant. Limp. Dia</t>
  </si>
  <si>
    <t xml:space="preserve">Área </t>
  </si>
  <si>
    <t>Ambientes</t>
  </si>
  <si>
    <t>Quantidade</t>
  </si>
  <si>
    <t>Demais espaços</t>
  </si>
  <si>
    <t>Quadra Poliesportiva coberta</t>
  </si>
  <si>
    <t>Quadra Coberta</t>
  </si>
  <si>
    <t>Sanitário</t>
  </si>
  <si>
    <t>Circulação</t>
  </si>
  <si>
    <t>Sala de aula</t>
  </si>
  <si>
    <t>Bloco F</t>
  </si>
  <si>
    <t>Bloco E2</t>
  </si>
  <si>
    <t>Bloco E1</t>
  </si>
  <si>
    <t>Compartilhamento de lixo</t>
  </si>
  <si>
    <t>Compartilhamento de gás</t>
  </si>
  <si>
    <t>DML</t>
  </si>
  <si>
    <t>Área de serviço</t>
  </si>
  <si>
    <t>Cozinha</t>
  </si>
  <si>
    <t>Banho</t>
  </si>
  <si>
    <t>Triagem/lavagem</t>
  </si>
  <si>
    <t>Despensa</t>
  </si>
  <si>
    <t>Pátio coberto</t>
  </si>
  <si>
    <t>Bloco D</t>
  </si>
  <si>
    <t>Grêmio</t>
  </si>
  <si>
    <t>Ciências</t>
  </si>
  <si>
    <t>Informática</t>
  </si>
  <si>
    <t>Bloco C</t>
  </si>
  <si>
    <t>Biblioteca</t>
  </si>
  <si>
    <t>Auditório</t>
  </si>
  <si>
    <t>Bloco B</t>
  </si>
  <si>
    <t>Sanitários (Fem/Mas)</t>
  </si>
  <si>
    <t>Sala dos professores</t>
  </si>
  <si>
    <t xml:space="preserve">Secretaria </t>
  </si>
  <si>
    <t>Coordenação</t>
  </si>
  <si>
    <t>ano</t>
  </si>
  <si>
    <t>mes</t>
  </si>
  <si>
    <t>Remuneracao</t>
  </si>
  <si>
    <t>Almoxarifado</t>
  </si>
  <si>
    <t>Direção</t>
  </si>
  <si>
    <t>Proporçao de serventes por 600 metros quadrados</t>
  </si>
  <si>
    <t>Bloco A</t>
  </si>
  <si>
    <t>Castelo D` água</t>
  </si>
  <si>
    <t>Parquinho</t>
  </si>
  <si>
    <t>Pátio Coberto</t>
  </si>
  <si>
    <t xml:space="preserve">Ambientes </t>
  </si>
  <si>
    <t xml:space="preserve">Quantidade </t>
  </si>
  <si>
    <t>Depósito</t>
  </si>
  <si>
    <t>Solários</t>
  </si>
  <si>
    <t>Salas de Atividade II</t>
  </si>
  <si>
    <t>Sanitários Professores</t>
  </si>
  <si>
    <t>Sanitários Infantis</t>
  </si>
  <si>
    <t>Circulação Interna</t>
  </si>
  <si>
    <t>Sala Multiuso</t>
  </si>
  <si>
    <t>Sanitário PNE Infantil</t>
  </si>
  <si>
    <t>Varanda</t>
  </si>
  <si>
    <t>Varanda de serviço</t>
  </si>
  <si>
    <t>Circulação interna</t>
  </si>
  <si>
    <t>Refeitório</t>
  </si>
  <si>
    <t>Sanitários Infantil</t>
  </si>
  <si>
    <t>Sanitários Adultos</t>
  </si>
  <si>
    <t>Rouparia</t>
  </si>
  <si>
    <t>Lavanderia</t>
  </si>
  <si>
    <t>Copa funcionários</t>
  </si>
  <si>
    <t>SI/telefonia/Elétrica</t>
  </si>
  <si>
    <t>Salas de atividades I</t>
  </si>
  <si>
    <t>Amamentação</t>
  </si>
  <si>
    <t>Depósitos</t>
  </si>
  <si>
    <t>Fraldários</t>
  </si>
  <si>
    <t>Lactário</t>
  </si>
  <si>
    <t>Higienização</t>
  </si>
  <si>
    <t>Sanitários</t>
  </si>
  <si>
    <t xml:space="preserve">Diretoria </t>
  </si>
  <si>
    <t>Secretaria</t>
  </si>
  <si>
    <t>Hall</t>
  </si>
  <si>
    <t>Passarelas (M1)</t>
  </si>
  <si>
    <t>Área</t>
  </si>
  <si>
    <t>Ambiente</t>
  </si>
  <si>
    <t>Demais Espaços</t>
  </si>
  <si>
    <t>Bloco Administrativo</t>
  </si>
  <si>
    <t>Salas de Aula</t>
  </si>
  <si>
    <t>Biblioteca/Informática</t>
  </si>
  <si>
    <t>Bloco Pedagógico</t>
  </si>
  <si>
    <t>Vestiário</t>
  </si>
  <si>
    <t>Sanitários ( feminino e masculino)</t>
  </si>
  <si>
    <t>Área de Serviço</t>
  </si>
  <si>
    <t>Bloco de Serviço</t>
  </si>
  <si>
    <t>Sanitários (feminino e masculino)</t>
  </si>
  <si>
    <t>Sala dos Professores</t>
  </si>
  <si>
    <t>Diretoria</t>
  </si>
  <si>
    <t>Arquivo</t>
  </si>
  <si>
    <t>Total Custo</t>
  </si>
  <si>
    <t>Custo professores  + 25% de profissionais em suporte a docencia</t>
  </si>
  <si>
    <t xml:space="preserve">Numero de alunos </t>
  </si>
  <si>
    <t>Recurso necessario para pagar todo o custo por aluno comprometendo 100%</t>
  </si>
  <si>
    <t>Recurso necessario para pagar todo o custo por aluno comprometendo 90%</t>
  </si>
  <si>
    <t>Recurso necessario para pagar todo o custo por aluno comprometendo 80%</t>
  </si>
  <si>
    <t>Recurso necessario para pagar todo o custo por aluno comprometendo 70%</t>
  </si>
  <si>
    <t xml:space="preserve">Custo com Limpeza </t>
  </si>
  <si>
    <t xml:space="preserve">Custo com Merenda </t>
  </si>
  <si>
    <t xml:space="preserve">Custo com Secretaria </t>
  </si>
  <si>
    <t>Escola com 12 salas - Creche com 10 salas</t>
  </si>
  <si>
    <t>Escola com 06 salas - Creche com 10 salas</t>
  </si>
  <si>
    <t xml:space="preserve">Custo com Merendeira </t>
  </si>
  <si>
    <t>Fatores de Ponderação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</si>
</sst>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6">
    <xf numFmtId="0" fontId="0" fillId="0" borderId="0" xfId="0"/>
    <xf numFmtId="2" fontId="0" fillId="0" borderId="0" xfId="0" applyNumberFormat="1" applyFill="1" applyBorder="1"/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9" fontId="0" fillId="0" borderId="0" xfId="0" applyNumberFormat="1" applyFill="1" applyBorder="1"/>
    <xf numFmtId="0" fontId="0" fillId="0" borderId="0" xfId="0" applyFill="1" applyBorder="1"/>
    <xf numFmtId="43" fontId="0" fillId="0" borderId="0" xfId="2" applyFont="1" applyFill="1" applyBorder="1"/>
    <xf numFmtId="2" fontId="0" fillId="3" borderId="0" xfId="0" applyNumberFormat="1" applyFill="1" applyBorder="1"/>
    <xf numFmtId="0" fontId="0" fillId="3" borderId="0" xfId="0" applyFill="1" applyBorder="1"/>
    <xf numFmtId="44" fontId="0" fillId="3" borderId="0" xfId="3" applyFont="1" applyFill="1" applyBorder="1"/>
    <xf numFmtId="0" fontId="3" fillId="3" borderId="0" xfId="0" applyFont="1" applyFill="1" applyBorder="1"/>
    <xf numFmtId="0" fontId="4" fillId="3" borderId="0" xfId="0" applyFont="1" applyFill="1" applyBorder="1"/>
    <xf numFmtId="44" fontId="6" fillId="0" borderId="0" xfId="3" applyFont="1" applyFill="1" applyBorder="1"/>
    <xf numFmtId="9" fontId="0" fillId="0" borderId="0" xfId="0" applyNumberFormat="1"/>
    <xf numFmtId="43" fontId="6" fillId="0" borderId="0" xfId="2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/>
    <xf numFmtId="43" fontId="0" fillId="0" borderId="1" xfId="2" applyFont="1" applyFill="1" applyBorder="1"/>
    <xf numFmtId="43" fontId="6" fillId="0" borderId="1" xfId="2" applyFont="1" applyFill="1" applyBorder="1"/>
    <xf numFmtId="0" fontId="0" fillId="4" borderId="1" xfId="0" applyFill="1" applyBorder="1"/>
    <xf numFmtId="0" fontId="2" fillId="6" borderId="1" xfId="0" applyFont="1" applyFill="1" applyBorder="1" applyAlignment="1">
      <alignment horizontal="left" vertical="center" wrapText="1"/>
    </xf>
    <xf numFmtId="43" fontId="0" fillId="6" borderId="1" xfId="2" applyFont="1" applyFill="1" applyBorder="1"/>
    <xf numFmtId="43" fontId="6" fillId="6" borderId="1" xfId="2" applyFont="1" applyFill="1" applyBorder="1"/>
    <xf numFmtId="9" fontId="6" fillId="0" borderId="1" xfId="2" applyNumberFormat="1" applyFont="1" applyFill="1" applyBorder="1"/>
    <xf numFmtId="9" fontId="6" fillId="6" borderId="1" xfId="2" applyNumberFormat="1" applyFont="1" applyFill="1" applyBorder="1"/>
    <xf numFmtId="0" fontId="0" fillId="3" borderId="0" xfId="0" applyFill="1"/>
    <xf numFmtId="43" fontId="0" fillId="3" borderId="0" xfId="0" applyNumberFormat="1" applyFill="1"/>
    <xf numFmtId="0" fontId="0" fillId="6" borderId="1" xfId="0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/>
    <xf numFmtId="43" fontId="0" fillId="3" borderId="1" xfId="0" applyNumberFormat="1" applyFont="1" applyFill="1" applyBorder="1"/>
    <xf numFmtId="43" fontId="0" fillId="0" borderId="1" xfId="2" applyFont="1" applyBorder="1"/>
    <xf numFmtId="0" fontId="0" fillId="3" borderId="1" xfId="0" applyFont="1" applyFill="1" applyBorder="1"/>
    <xf numFmtId="164" fontId="0" fillId="0" borderId="0" xfId="2" applyNumberFormat="1" applyFont="1" applyFill="1" applyBorder="1"/>
    <xf numFmtId="164" fontId="0" fillId="3" borderId="0" xfId="2" applyNumberFormat="1" applyFont="1" applyFill="1" applyBorder="1"/>
    <xf numFmtId="1" fontId="0" fillId="0" borderId="0" xfId="0" applyNumberFormat="1" applyFill="1" applyBorder="1"/>
    <xf numFmtId="1" fontId="0" fillId="0" borderId="0" xfId="2" applyNumberFormat="1" applyFont="1" applyFill="1"/>
    <xf numFmtId="1" fontId="0" fillId="3" borderId="0" xfId="2" applyNumberFormat="1" applyFont="1" applyFill="1"/>
    <xf numFmtId="164" fontId="0" fillId="0" borderId="1" xfId="2" applyNumberFormat="1" applyFont="1" applyBorder="1"/>
    <xf numFmtId="0" fontId="0" fillId="3" borderId="1" xfId="0" applyFill="1" applyBorder="1"/>
    <xf numFmtId="43" fontId="0" fillId="6" borderId="1" xfId="0" applyNumberFormat="1" applyFill="1" applyBorder="1"/>
    <xf numFmtId="43" fontId="0" fillId="0" borderId="1" xfId="0" applyNumberFormat="1" applyFill="1" applyBorder="1"/>
    <xf numFmtId="0" fontId="0" fillId="0" borderId="1" xfId="0" applyFont="1" applyFill="1" applyBorder="1"/>
    <xf numFmtId="43" fontId="0" fillId="7" borderId="1" xfId="0" applyNumberFormat="1" applyFont="1" applyFill="1" applyBorder="1"/>
    <xf numFmtId="0" fontId="0" fillId="4" borderId="1" xfId="0" applyFont="1" applyFill="1" applyBorder="1"/>
    <xf numFmtId="9" fontId="0" fillId="0" borderId="0" xfId="4" applyFont="1"/>
    <xf numFmtId="0" fontId="2" fillId="0" borderId="0" xfId="0" applyFont="1" applyFill="1" applyBorder="1" applyAlignment="1">
      <alignment horizontal="left" vertical="center"/>
    </xf>
    <xf numFmtId="43" fontId="0" fillId="3" borderId="1" xfId="0" applyNumberFormat="1" applyFill="1" applyBorder="1"/>
    <xf numFmtId="43" fontId="0" fillId="3" borderId="1" xfId="2" applyFont="1" applyFill="1" applyBorder="1"/>
    <xf numFmtId="0" fontId="0" fillId="0" borderId="0" xfId="0" applyNumberFormat="1" applyFill="1"/>
    <xf numFmtId="44" fontId="0" fillId="0" borderId="0" xfId="3" applyFont="1" applyFill="1"/>
    <xf numFmtId="164" fontId="0" fillId="3" borderId="1" xfId="2" applyNumberFormat="1" applyFont="1" applyFill="1" applyBorder="1"/>
    <xf numFmtId="1" fontId="0" fillId="3" borderId="0" xfId="0" applyNumberFormat="1" applyFill="1" applyBorder="1"/>
    <xf numFmtId="0" fontId="9" fillId="0" borderId="0" xfId="0" applyFont="1" applyFill="1" applyBorder="1" applyAlignment="1">
      <alignment horizontal="center" vertical="center" wrapText="1"/>
    </xf>
    <xf numFmtId="43" fontId="9" fillId="0" borderId="0" xfId="2" applyFont="1" applyFill="1" applyBorder="1" applyAlignment="1">
      <alignment horizontal="center" vertical="center"/>
    </xf>
    <xf numFmtId="10" fontId="0" fillId="0" borderId="0" xfId="4" applyNumberFormat="1" applyFont="1" applyFill="1" applyBorder="1"/>
    <xf numFmtId="9" fontId="0" fillId="0" borderId="0" xfId="4" applyFont="1" applyFill="1" applyBorder="1"/>
    <xf numFmtId="43" fontId="0" fillId="0" borderId="0" xfId="0" applyNumberFormat="1" applyFill="1" applyBorder="1"/>
    <xf numFmtId="2" fontId="1" fillId="0" borderId="0" xfId="1" applyNumberFormat="1" applyFont="1" applyFill="1" applyBorder="1"/>
    <xf numFmtId="2" fontId="0" fillId="0" borderId="0" xfId="0" applyNumberFormat="1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4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3" fontId="9" fillId="3" borderId="1" xfId="2" applyFont="1" applyFill="1" applyBorder="1" applyAlignment="1">
      <alignment horizontal="center" vertical="center"/>
    </xf>
    <xf numFmtId="0" fontId="6" fillId="6" borderId="1" xfId="0" applyFont="1" applyFill="1" applyBorder="1"/>
    <xf numFmtId="0" fontId="8" fillId="3" borderId="1" xfId="0" applyFont="1" applyFill="1" applyBorder="1" applyAlignment="1">
      <alignment horizontal="center"/>
    </xf>
    <xf numFmtId="0" fontId="0" fillId="0" borderId="1" xfId="0" applyFill="1" applyBorder="1"/>
    <xf numFmtId="2" fontId="0" fillId="0" borderId="1" xfId="0" applyNumberFormat="1" applyBorder="1"/>
    <xf numFmtId="2" fontId="0" fillId="6" borderId="1" xfId="0" applyNumberFormat="1" applyFill="1" applyBorder="1"/>
    <xf numFmtId="44" fontId="0" fillId="0" borderId="1" xfId="3" applyFont="1" applyBorder="1"/>
    <xf numFmtId="0" fontId="0" fillId="0" borderId="0" xfId="0" applyBorder="1"/>
    <xf numFmtId="1" fontId="6" fillId="0" borderId="1" xfId="0" applyNumberFormat="1" applyFont="1" applyBorder="1" applyAlignment="1">
      <alignment horizontal="center"/>
    </xf>
    <xf numFmtId="1" fontId="0" fillId="0" borderId="0" xfId="0" applyNumberFormat="1" applyBorder="1" applyAlignment="1"/>
    <xf numFmtId="0" fontId="0" fillId="0" borderId="0" xfId="0" applyAlignment="1"/>
    <xf numFmtId="1" fontId="6" fillId="6" borderId="1" xfId="0" applyNumberFormat="1" applyFont="1" applyFill="1" applyBorder="1"/>
    <xf numFmtId="1" fontId="0" fillId="0" borderId="1" xfId="0" applyNumberFormat="1" applyBorder="1"/>
    <xf numFmtId="1" fontId="0" fillId="6" borderId="1" xfId="0" applyNumberFormat="1" applyFill="1" applyBorder="1"/>
    <xf numFmtId="1" fontId="0" fillId="0" borderId="0" xfId="0" applyNumberFormat="1"/>
    <xf numFmtId="1" fontId="0" fillId="0" borderId="1" xfId="0" applyNumberFormat="1" applyFill="1" applyBorder="1"/>
    <xf numFmtId="1" fontId="6" fillId="0" borderId="1" xfId="0" applyNumberFormat="1" applyFont="1" applyBorder="1"/>
    <xf numFmtId="2" fontId="6" fillId="6" borderId="1" xfId="0" applyNumberFormat="1" applyFont="1" applyFill="1" applyBorder="1"/>
    <xf numFmtId="0" fontId="9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</cellXfs>
  <cellStyles count="5">
    <cellStyle name="Bom" xfId="1" builtinId="26"/>
    <cellStyle name="Moeda" xfId="3" builtinId="4"/>
    <cellStyle name="Normal" xfId="0" builtinId="0"/>
    <cellStyle name="Porcentagem" xfId="4" builtinId="5"/>
    <cellStyle name="Vírgula" xfId="2" builtinId="3"/>
  </cellStyles>
  <dxfs count="2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thin">
          <color rgb="FF494529"/>
        </left>
        <right style="thin">
          <color rgb="FF494529"/>
        </right>
        <top style="thin">
          <color rgb="FF494529"/>
        </top>
        <bottom style="thin">
          <color rgb="FF494529"/>
        </bottom>
      </border>
    </dxf>
    <dxf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thin">
          <color theme="2" tint="-0.749992370372631"/>
        </left>
        <right style="thin">
          <color theme="2" tint="-0.749992370372631"/>
        </right>
        <top style="thin">
          <color theme="2" tint="-0.749992370372631"/>
        </top>
        <bottom style="thin">
          <color theme="2" tint="-0.749992370372631"/>
        </bottom>
      </border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13" displayName="Tabela13" ref="B2:L15" totalsRowShown="0" headerRowDxfId="27" dataDxfId="26" tableBorderDxfId="25">
  <autoFilter ref="B2:L15"/>
  <tableColumns count="11">
    <tableColumn id="1" name="Etapas e Modalidades da Educaçao Básica" dataDxfId="24"/>
    <tableColumn id="2" name="Nº de Turmas" dataDxfId="23"/>
    <tableColumn id="10" name="Horas Dia" dataDxfId="22"/>
    <tableColumn id="4" name="Horas por Semana (horas dia x 5 dias)" dataDxfId="21"/>
    <tableColumn id="11" name="Horas que precisam ser contratadas considerando hora-atividade" dataDxfId="20" dataCellStyle="Moeda"/>
    <tableColumn id="7" name="Nº Professores necessarios 40h" dataDxfId="19"/>
    <tableColumn id="5" name="Nº de alunos por turma" dataDxfId="18"/>
    <tableColumn id="6" name="Total de alunos" dataDxfId="17"/>
    <tableColumn id="8" name="Relação professor/aluno" dataDxfId="16"/>
    <tableColumn id="9" name="75% professores com nível superior*" dataDxfId="15"/>
    <tableColumn id="12" name="25%  profesores com nível médio*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a134" displayName="Tabela134" ref="B2:L15" totalsRowShown="0" headerRowDxfId="13" dataDxfId="12" tableBorderDxfId="11">
  <autoFilter ref="B2:L15"/>
  <tableColumns count="11">
    <tableColumn id="1" name="Etapas e Modalidades da Educaçao Básica" dataDxfId="10"/>
    <tableColumn id="2" name="Nº de Turmas" dataDxfId="9"/>
    <tableColumn id="10" name="Horas Dia" dataDxfId="8"/>
    <tableColumn id="4" name="Horas por Semana (horas dia x 5 dias)" dataDxfId="7"/>
    <tableColumn id="11" name="Horas que precisam ser contratadas considerando hora-atividade" dataDxfId="6" dataCellStyle="Moeda"/>
    <tableColumn id="7" name="Nº Professores necessarios 40h" dataDxfId="5"/>
    <tableColumn id="5" name="Nº de alunos por turma" dataDxfId="4"/>
    <tableColumn id="6" name="Total de alunos" dataDxfId="3"/>
    <tableColumn id="8" name="Relação professor/aluno" dataDxfId="2"/>
    <tableColumn id="9" name="75% professores com nível superior*" dataDxfId="1"/>
    <tableColumn id="12" name="25%  profesores com nível médio*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9"/>
  <sheetViews>
    <sheetView tabSelected="1" zoomScale="110" zoomScaleNormal="110" workbookViewId="0">
      <selection activeCell="F17" sqref="F17"/>
    </sheetView>
  </sheetViews>
  <sheetFormatPr defaultRowHeight="15" x14ac:dyDescent="0.25"/>
  <cols>
    <col min="1" max="1" width="2.140625" customWidth="1"/>
    <col min="2" max="2" width="25.28515625" customWidth="1"/>
    <col min="3" max="3" width="16.7109375" customWidth="1"/>
    <col min="4" max="4" width="16.42578125" customWidth="1"/>
    <col min="5" max="6" width="21.28515625" customWidth="1"/>
    <col min="7" max="7" width="17.5703125" customWidth="1"/>
    <col min="8" max="8" width="19.85546875" customWidth="1"/>
    <col min="9" max="9" width="16" customWidth="1"/>
    <col min="10" max="10" width="18.5703125" customWidth="1"/>
    <col min="11" max="11" width="19" customWidth="1"/>
    <col min="12" max="12" width="19.7109375" customWidth="1"/>
    <col min="13" max="13" width="18.85546875" customWidth="1"/>
  </cols>
  <sheetData>
    <row r="1" spans="2:12" x14ac:dyDescent="0.25">
      <c r="B1" s="2"/>
      <c r="D1" s="2"/>
      <c r="E1" s="2"/>
      <c r="F1" s="2"/>
      <c r="G1" s="2"/>
      <c r="H1" s="2"/>
    </row>
    <row r="2" spans="2:12" ht="63" x14ac:dyDescent="0.25">
      <c r="B2" s="62" t="s">
        <v>0</v>
      </c>
      <c r="C2" s="62" t="s">
        <v>11</v>
      </c>
      <c r="D2" s="62" t="s">
        <v>12</v>
      </c>
      <c r="E2" s="63" t="s">
        <v>20</v>
      </c>
      <c r="F2" s="63" t="s">
        <v>34</v>
      </c>
      <c r="G2" s="63" t="s">
        <v>35</v>
      </c>
      <c r="H2" s="62" t="s">
        <v>17</v>
      </c>
      <c r="I2" s="63" t="s">
        <v>18</v>
      </c>
      <c r="J2" s="63" t="s">
        <v>19</v>
      </c>
      <c r="K2" s="63" t="s">
        <v>28</v>
      </c>
      <c r="L2" s="63" t="s">
        <v>29</v>
      </c>
    </row>
    <row r="3" spans="2:12" x14ac:dyDescent="0.25">
      <c r="B3" s="3" t="s">
        <v>1</v>
      </c>
      <c r="C3" s="7"/>
      <c r="D3" s="7"/>
      <c r="E3" s="8"/>
      <c r="F3" s="8"/>
      <c r="G3" s="8"/>
      <c r="H3" s="7"/>
      <c r="I3" s="8"/>
      <c r="J3" s="7"/>
      <c r="K3" s="26"/>
      <c r="L3" s="26"/>
    </row>
    <row r="4" spans="2:12" x14ac:dyDescent="0.25">
      <c r="B4" s="3" t="s">
        <v>2</v>
      </c>
      <c r="C4" s="1">
        <v>10</v>
      </c>
      <c r="D4" s="1">
        <v>7</v>
      </c>
      <c r="E4" s="5">
        <f>Tabela13[[#This Row],[Nº de Turmas]]*Tabela13[[#This Row],[Horas Dia]]*5</f>
        <v>350</v>
      </c>
      <c r="F4" s="6">
        <f>E4*E4/(E4/3*2)</f>
        <v>525</v>
      </c>
      <c r="G4" s="34">
        <f>Tabela13[[#This Row],[Horas que precisam ser contratadas considerando hora-atividade]]/40</f>
        <v>13.125</v>
      </c>
      <c r="H4" s="1">
        <v>13</v>
      </c>
      <c r="I4" s="5">
        <f>Tabela13[[#This Row],[Nº de Turmas]]*Tabela13[[#This Row],[Nº de alunos por turma]]</f>
        <v>130</v>
      </c>
      <c r="J4" s="36">
        <f>Tabela13[[#This Row],[Total de alunos]]/Tabela13[[#This Row],[Nº Professores necessarios 40h]]</f>
        <v>9.9047619047619051</v>
      </c>
      <c r="K4" s="37">
        <f>Tabela13[[#This Row],[Nº Professores necessarios 40h]]*75%</f>
        <v>9.84375</v>
      </c>
      <c r="L4" s="37">
        <f>Tabela13[[#This Row],[Nº Professores necessarios 40h]]*25%</f>
        <v>3.28125</v>
      </c>
    </row>
    <row r="5" spans="2:12" x14ac:dyDescent="0.25">
      <c r="B5" s="3" t="s">
        <v>3</v>
      </c>
      <c r="C5" s="7"/>
      <c r="D5" s="7"/>
      <c r="E5" s="8"/>
      <c r="F5" s="9"/>
      <c r="G5" s="35"/>
      <c r="H5" s="7"/>
      <c r="I5" s="8"/>
      <c r="J5" s="53"/>
      <c r="K5" s="38"/>
      <c r="L5" s="38"/>
    </row>
    <row r="6" spans="2:12" x14ac:dyDescent="0.25">
      <c r="B6" s="3" t="s">
        <v>2</v>
      </c>
      <c r="C6" s="1">
        <v>20</v>
      </c>
      <c r="D6" s="1">
        <v>5</v>
      </c>
      <c r="E6" s="5">
        <f>Tabela13[[#This Row],[Nº de Turmas]]*Tabela13[[#This Row],[Horas Dia]]*5</f>
        <v>500</v>
      </c>
      <c r="F6" s="6">
        <f t="shared" ref="F6:F13" si="0">E6*E6/(E6/3*2)</f>
        <v>750</v>
      </c>
      <c r="G6" s="34">
        <f>Tabela13[[#This Row],[Horas que precisam ser contratadas considerando hora-atividade]]/40</f>
        <v>18.75</v>
      </c>
      <c r="H6" s="1">
        <v>13</v>
      </c>
      <c r="I6" s="5">
        <f>Tabela13[[#This Row],[Nº de Turmas]]*Tabela13[[#This Row],[Nº de alunos por turma]]</f>
        <v>260</v>
      </c>
      <c r="J6" s="36">
        <f>Tabela13[[#This Row],[Total de alunos]]/Tabela13[[#This Row],[Nº Professores necessarios 40h]]</f>
        <v>13.866666666666667</v>
      </c>
      <c r="K6" s="37">
        <f>Tabela13[[#This Row],[Nº Professores necessarios 40h]]*75%</f>
        <v>14.0625</v>
      </c>
      <c r="L6" s="37">
        <f>Tabela13[[#This Row],[Nº Professores necessarios 40h]]*25%</f>
        <v>4.6875</v>
      </c>
    </row>
    <row r="7" spans="2:12" x14ac:dyDescent="0.25">
      <c r="B7" s="3" t="s">
        <v>4</v>
      </c>
      <c r="C7" s="1">
        <v>12</v>
      </c>
      <c r="D7" s="1">
        <v>7</v>
      </c>
      <c r="E7" s="5">
        <f>Tabela13[[#This Row],[Nº de Turmas]]*Tabela13[[#This Row],[Horas Dia]]*5</f>
        <v>420</v>
      </c>
      <c r="F7" s="6">
        <f t="shared" si="0"/>
        <v>630</v>
      </c>
      <c r="G7" s="34">
        <f>Tabela13[[#This Row],[Horas que precisam ser contratadas considerando hora-atividade]]/40</f>
        <v>15.75</v>
      </c>
      <c r="H7" s="1">
        <v>20</v>
      </c>
      <c r="I7" s="5">
        <f>Tabela13[[#This Row],[Nº de Turmas]]*Tabela13[[#This Row],[Nº de alunos por turma]]</f>
        <v>240</v>
      </c>
      <c r="J7" s="36">
        <f>Tabela13[[#This Row],[Total de alunos]]/Tabela13[[#This Row],[Nº Professores necessarios 40h]]</f>
        <v>15.238095238095237</v>
      </c>
      <c r="K7" s="37">
        <f>Tabela13[[#This Row],[Nº Professores necessarios 40h]]*75%</f>
        <v>11.8125</v>
      </c>
      <c r="L7" s="37">
        <f>Tabela13[[#This Row],[Nº Professores necessarios 40h]]*25%</f>
        <v>3.9375</v>
      </c>
    </row>
    <row r="8" spans="2:12" x14ac:dyDescent="0.25">
      <c r="B8" s="3" t="s">
        <v>5</v>
      </c>
      <c r="C8" s="1">
        <v>24</v>
      </c>
      <c r="D8" s="1">
        <v>5</v>
      </c>
      <c r="E8" s="5">
        <f>Tabela13[[#This Row],[Nº de Turmas]]*Tabela13[[#This Row],[Horas Dia]]*5</f>
        <v>600</v>
      </c>
      <c r="F8" s="6">
        <f t="shared" si="0"/>
        <v>900</v>
      </c>
      <c r="G8" s="34">
        <f>Tabela13[[#This Row],[Horas que precisam ser contratadas considerando hora-atividade]]/40</f>
        <v>22.5</v>
      </c>
      <c r="H8" s="1">
        <v>20</v>
      </c>
      <c r="I8" s="5">
        <f>Tabela13[[#This Row],[Nº de Turmas]]*Tabela13[[#This Row],[Nº de alunos por turma]]</f>
        <v>480</v>
      </c>
      <c r="J8" s="36">
        <f>Tabela13[[#This Row],[Total de alunos]]/Tabela13[[#This Row],[Nº Professores necessarios 40h]]</f>
        <v>21.333333333333332</v>
      </c>
      <c r="K8" s="37">
        <f>Tabela13[[#This Row],[Nº Professores necessarios 40h]]*75%</f>
        <v>16.875</v>
      </c>
      <c r="L8" s="37">
        <f>Tabela13[[#This Row],[Nº Professores necessarios 40h]]*25%</f>
        <v>5.625</v>
      </c>
    </row>
    <row r="9" spans="2:12" ht="30.75" customHeight="1" x14ac:dyDescent="0.25">
      <c r="B9" s="3" t="s">
        <v>6</v>
      </c>
      <c r="C9" s="1">
        <v>24</v>
      </c>
      <c r="D9" s="1">
        <v>5</v>
      </c>
      <c r="E9" s="5">
        <f>Tabela13[[#This Row],[Nº de Turmas]]*Tabela13[[#This Row],[Horas Dia]]*5</f>
        <v>600</v>
      </c>
      <c r="F9" s="6">
        <f t="shared" si="0"/>
        <v>900</v>
      </c>
      <c r="G9" s="34">
        <f>Tabela13[[#This Row],[Horas que precisam ser contratadas considerando hora-atividade]]/40</f>
        <v>22.5</v>
      </c>
      <c r="H9" s="1">
        <v>24</v>
      </c>
      <c r="I9" s="5">
        <f>Tabela13[[#This Row],[Nº de Turmas]]*Tabela13[[#This Row],[Nº de alunos por turma]]</f>
        <v>576</v>
      </c>
      <c r="J9" s="36">
        <f>Tabela13[[#This Row],[Total de alunos]]/Tabela13[[#This Row],[Nº Professores necessarios 40h]]</f>
        <v>25.6</v>
      </c>
      <c r="K9" s="37">
        <f>Tabela13[[#This Row],[Nº Professores necessarios 40h]]*75%</f>
        <v>16.875</v>
      </c>
      <c r="L9" s="37">
        <f>Tabela13[[#This Row],[Nº Professores necessarios 40h]]*25%</f>
        <v>5.625</v>
      </c>
    </row>
    <row r="10" spans="2:12" ht="26.25" customHeight="1" x14ac:dyDescent="0.25">
      <c r="B10" s="3" t="s">
        <v>7</v>
      </c>
      <c r="C10" s="1">
        <v>24</v>
      </c>
      <c r="D10" s="1">
        <v>5</v>
      </c>
      <c r="E10" s="5">
        <f>Tabela13[[#This Row],[Nº de Turmas]]*Tabela13[[#This Row],[Horas Dia]]*5</f>
        <v>600</v>
      </c>
      <c r="F10" s="6">
        <f t="shared" si="0"/>
        <v>900</v>
      </c>
      <c r="G10" s="34">
        <f>Tabela13[[#This Row],[Horas que precisam ser contratadas considerando hora-atividade]]/40</f>
        <v>22.5</v>
      </c>
      <c r="H10" s="1">
        <v>30</v>
      </c>
      <c r="I10" s="5">
        <f>Tabela13[[#This Row],[Nº de Turmas]]*Tabela13[[#This Row],[Nº de alunos por turma]]</f>
        <v>720</v>
      </c>
      <c r="J10" s="36">
        <f>Tabela13[[#This Row],[Total de alunos]]/Tabela13[[#This Row],[Nº Professores necessarios 40h]]</f>
        <v>32</v>
      </c>
      <c r="K10" s="37">
        <f>Tabela13[[#This Row],[Nº Professores necessarios 40h]]*75%</f>
        <v>16.875</v>
      </c>
      <c r="L10" s="37">
        <f>Tabela13[[#This Row],[Nº Professores necessarios 40h]]*25%</f>
        <v>5.625</v>
      </c>
    </row>
    <row r="11" spans="2:12" ht="26.25" customHeight="1" x14ac:dyDescent="0.25">
      <c r="B11" s="3" t="s">
        <v>8</v>
      </c>
      <c r="C11" s="1">
        <v>12</v>
      </c>
      <c r="D11" s="1">
        <v>7</v>
      </c>
      <c r="E11" s="5">
        <f>Tabela13[[#This Row],[Nº de Turmas]]*Tabela13[[#This Row],[Horas Dia]]*5</f>
        <v>420</v>
      </c>
      <c r="F11" s="6">
        <f t="shared" si="0"/>
        <v>630</v>
      </c>
      <c r="G11" s="34">
        <f>Tabela13[[#This Row],[Horas que precisam ser contratadas considerando hora-atividade]]/40</f>
        <v>15.75</v>
      </c>
      <c r="H11" s="1">
        <v>30</v>
      </c>
      <c r="I11" s="5">
        <f>Tabela13[[#This Row],[Nº de Turmas]]*Tabela13[[#This Row],[Nº de alunos por turma]]</f>
        <v>360</v>
      </c>
      <c r="J11" s="36">
        <f>Tabela13[[#This Row],[Total de alunos]]/Tabela13[[#This Row],[Nº Professores necessarios 40h]]</f>
        <v>22.857142857142858</v>
      </c>
      <c r="K11" s="37">
        <f>Tabela13[[#This Row],[Nº Professores necessarios 40h]]*75%</f>
        <v>11.8125</v>
      </c>
      <c r="L11" s="37">
        <f>Tabela13[[#This Row],[Nº Professores necessarios 40h]]*25%</f>
        <v>3.9375</v>
      </c>
    </row>
    <row r="12" spans="2:12" ht="28.5" customHeight="1" x14ac:dyDescent="0.25">
      <c r="B12" s="3" t="s">
        <v>9</v>
      </c>
      <c r="C12" s="1">
        <v>24</v>
      </c>
      <c r="D12" s="1">
        <v>5</v>
      </c>
      <c r="E12" s="5">
        <f>Tabela13[[#This Row],[Nº de Turmas]]*Tabela13[[#This Row],[Horas Dia]]*5</f>
        <v>600</v>
      </c>
      <c r="F12" s="6">
        <f t="shared" si="0"/>
        <v>900</v>
      </c>
      <c r="G12" s="34">
        <f>Tabela13[[#This Row],[Horas que precisam ser contratadas considerando hora-atividade]]/40</f>
        <v>22.5</v>
      </c>
      <c r="H12" s="1">
        <v>30</v>
      </c>
      <c r="I12" s="5">
        <f>Tabela13[[#This Row],[Nº de Turmas]]*Tabela13[[#This Row],[Nº de alunos por turma]]</f>
        <v>720</v>
      </c>
      <c r="J12" s="36">
        <f>Tabela13[[#This Row],[Total de alunos]]/Tabela13[[#This Row],[Nº Professores necessarios 40h]]</f>
        <v>32</v>
      </c>
      <c r="K12" s="37">
        <f>Tabela13[[#This Row],[Nº Professores necessarios 40h]]*75%</f>
        <v>16.875</v>
      </c>
      <c r="L12" s="37">
        <f>Tabela13[[#This Row],[Nº Professores necessarios 40h]]*25%</f>
        <v>5.625</v>
      </c>
    </row>
    <row r="13" spans="2:12" ht="28.5" customHeight="1" x14ac:dyDescent="0.25">
      <c r="B13" s="3" t="s">
        <v>10</v>
      </c>
      <c r="C13" s="1">
        <v>12</v>
      </c>
      <c r="D13" s="1">
        <v>7</v>
      </c>
      <c r="E13" s="5">
        <f>Tabela13[[#This Row],[Nº de Turmas]]*Tabela13[[#This Row],[Horas Dia]]*5</f>
        <v>420</v>
      </c>
      <c r="F13" s="6">
        <f t="shared" si="0"/>
        <v>630</v>
      </c>
      <c r="G13" s="34">
        <f>Tabela13[[#This Row],[Horas que precisam ser contratadas considerando hora-atividade]]/40</f>
        <v>15.75</v>
      </c>
      <c r="H13" s="1">
        <v>30</v>
      </c>
      <c r="I13" s="5">
        <f>Tabela13[[#This Row],[Nº de Turmas]]*Tabela13[[#This Row],[Nº de alunos por turma]]</f>
        <v>360</v>
      </c>
      <c r="J13" s="36">
        <f>Tabela13[[#This Row],[Total de alunos]]/Tabela13[[#This Row],[Nº Professores necessarios 40h]]</f>
        <v>22.857142857142858</v>
      </c>
      <c r="K13" s="37">
        <f>Tabela13[[#This Row],[Nº Professores necessarios 40h]]*75%</f>
        <v>11.8125</v>
      </c>
      <c r="L13" s="37">
        <f>Tabela13[[#This Row],[Nº Professores necessarios 40h]]*25%</f>
        <v>3.9375</v>
      </c>
    </row>
    <row r="14" spans="2:12" ht="15.75" x14ac:dyDescent="0.25">
      <c r="B14" s="10"/>
      <c r="C14" s="11"/>
      <c r="D14" s="11"/>
      <c r="E14" s="8"/>
      <c r="F14" s="8"/>
      <c r="G14" s="8"/>
      <c r="H14" s="8"/>
      <c r="I14" s="25"/>
      <c r="J14" s="25"/>
      <c r="K14" s="25"/>
      <c r="L14" s="25"/>
    </row>
    <row r="15" spans="2:12" x14ac:dyDescent="0.25">
      <c r="B15" s="47" t="s">
        <v>16</v>
      </c>
      <c r="C15" s="50"/>
      <c r="D15" s="2"/>
      <c r="E15" s="2"/>
      <c r="F15" s="51"/>
      <c r="G15" s="2"/>
      <c r="H15" s="2"/>
      <c r="I15" s="2"/>
      <c r="J15" s="2"/>
      <c r="K15" s="2"/>
      <c r="L15" s="2"/>
    </row>
    <row r="17" spans="2:13" x14ac:dyDescent="0.25">
      <c r="B17" s="3"/>
      <c r="C17" s="4"/>
      <c r="D17" s="12"/>
    </row>
    <row r="18" spans="2:13" ht="31.5" x14ac:dyDescent="0.25">
      <c r="B18" s="61" t="s">
        <v>13</v>
      </c>
      <c r="C18" s="61" t="s">
        <v>21</v>
      </c>
      <c r="D18" s="64" t="s">
        <v>22</v>
      </c>
      <c r="E18" s="65" t="s">
        <v>23</v>
      </c>
      <c r="F18" s="61" t="s">
        <v>24</v>
      </c>
      <c r="G18" s="61" t="s">
        <v>25</v>
      </c>
      <c r="H18" s="54"/>
      <c r="I18" s="61" t="s">
        <v>26</v>
      </c>
      <c r="J18" s="66" t="s">
        <v>27</v>
      </c>
      <c r="K18" s="55"/>
      <c r="L18" s="55"/>
    </row>
    <row r="19" spans="2:13" x14ac:dyDescent="0.25">
      <c r="B19" s="15" t="s">
        <v>14</v>
      </c>
      <c r="C19" s="17">
        <v>1917.78</v>
      </c>
      <c r="D19" s="18">
        <f>C19*1.4</f>
        <v>2684.8919999999998</v>
      </c>
      <c r="E19" s="23">
        <f>D19/C19-100%</f>
        <v>0.39999999999999991</v>
      </c>
      <c r="F19" s="18">
        <f>(D19+C19)/2</f>
        <v>2301.3359999999998</v>
      </c>
      <c r="G19" s="18">
        <f>F19*1.15</f>
        <v>2646.5363999999995</v>
      </c>
      <c r="H19" s="14"/>
      <c r="I19" s="15" t="s">
        <v>14</v>
      </c>
      <c r="J19" s="17">
        <f>G19*13.33*1.22</f>
        <v>43039.562858639991</v>
      </c>
      <c r="K19" s="6"/>
      <c r="L19" s="6"/>
      <c r="M19" s="13"/>
    </row>
    <row r="20" spans="2:13" x14ac:dyDescent="0.25">
      <c r="B20" s="20" t="s">
        <v>15</v>
      </c>
      <c r="C20" s="21">
        <f>C19*1.4</f>
        <v>2684.8919999999998</v>
      </c>
      <c r="D20" s="22">
        <f>C20*1.4</f>
        <v>3758.8487999999993</v>
      </c>
      <c r="E20" s="24">
        <f>D20/C20-100%</f>
        <v>0.39999999999999991</v>
      </c>
      <c r="F20" s="22">
        <f>(D20+C20)/2</f>
        <v>3221.8703999999998</v>
      </c>
      <c r="G20" s="22">
        <f>F20*1.15</f>
        <v>3705.1509599999995</v>
      </c>
      <c r="H20" s="14"/>
      <c r="I20" s="20" t="s">
        <v>15</v>
      </c>
      <c r="J20" s="21">
        <f>G20*13.33*1.22</f>
        <v>60255.388002095991</v>
      </c>
      <c r="K20" s="6"/>
      <c r="L20" s="6"/>
    </row>
    <row r="21" spans="2:13" x14ac:dyDescent="0.25">
      <c r="B21" s="3"/>
      <c r="C21" s="6"/>
      <c r="D21" s="14"/>
      <c r="E21" s="14"/>
      <c r="F21" s="14"/>
      <c r="G21" s="14"/>
      <c r="H21" s="14"/>
      <c r="I21" s="14"/>
      <c r="J21" s="14"/>
      <c r="K21" s="14"/>
      <c r="L21" s="14"/>
    </row>
    <row r="22" spans="2:13" x14ac:dyDescent="0.25">
      <c r="B22" s="3"/>
      <c r="C22" s="6"/>
      <c r="D22" s="14"/>
      <c r="E22" s="14"/>
      <c r="F22" s="14"/>
      <c r="G22" s="14"/>
      <c r="H22" s="14"/>
      <c r="I22" s="14"/>
      <c r="J22" s="14"/>
      <c r="K22" s="14"/>
      <c r="L22" s="14"/>
    </row>
    <row r="23" spans="2:13" ht="110.25" x14ac:dyDescent="0.25">
      <c r="B23" s="61" t="s">
        <v>0</v>
      </c>
      <c r="C23" s="61" t="s">
        <v>28</v>
      </c>
      <c r="D23" s="61" t="s">
        <v>29</v>
      </c>
      <c r="E23" s="61" t="s">
        <v>31</v>
      </c>
      <c r="F23" s="61" t="s">
        <v>30</v>
      </c>
      <c r="G23" s="61" t="s">
        <v>32</v>
      </c>
      <c r="H23" s="61" t="s">
        <v>36</v>
      </c>
      <c r="I23" s="61" t="s">
        <v>33</v>
      </c>
      <c r="J23" s="61" t="s">
        <v>37</v>
      </c>
      <c r="K23" s="61" t="s">
        <v>38</v>
      </c>
      <c r="L23" s="61" t="s">
        <v>39</v>
      </c>
      <c r="M23" s="61" t="s">
        <v>40</v>
      </c>
    </row>
    <row r="24" spans="2:13" x14ac:dyDescent="0.25">
      <c r="B24" s="28" t="s">
        <v>1</v>
      </c>
      <c r="C24" s="44"/>
      <c r="D24" s="44"/>
      <c r="E24" s="19"/>
      <c r="F24" s="19"/>
      <c r="G24" s="19"/>
      <c r="H24" s="19"/>
      <c r="I24" s="45"/>
      <c r="J24" s="19"/>
      <c r="K24" s="19"/>
      <c r="L24" s="19"/>
      <c r="M24" s="19"/>
    </row>
    <row r="25" spans="2:13" x14ac:dyDescent="0.25">
      <c r="B25" s="29" t="s">
        <v>2</v>
      </c>
      <c r="C25" s="39">
        <f>K4</f>
        <v>9.84375</v>
      </c>
      <c r="D25" s="39">
        <f>L4</f>
        <v>3.28125</v>
      </c>
      <c r="E25" s="32">
        <f>C25*J20</f>
        <v>593138.97564563237</v>
      </c>
      <c r="F25" s="32">
        <f>D25*J19</f>
        <v>141223.56562991248</v>
      </c>
      <c r="G25" s="42">
        <f>E25+F25</f>
        <v>734362.54127554479</v>
      </c>
      <c r="H25" s="42">
        <f>G25*1.25</f>
        <v>917953.17659443105</v>
      </c>
      <c r="I25" s="43">
        <f>I4</f>
        <v>130</v>
      </c>
      <c r="J25" s="42">
        <f>H25/I25</f>
        <v>7061.1782814956232</v>
      </c>
      <c r="K25" s="42">
        <f>H25*100/90/I25</f>
        <v>7845.7536461062491</v>
      </c>
      <c r="L25" s="42">
        <f>H25*100/80/I25</f>
        <v>8826.4728518695301</v>
      </c>
      <c r="M25" s="42">
        <f>H25*100/70/I25</f>
        <v>10087.397544993748</v>
      </c>
    </row>
    <row r="26" spans="2:13" x14ac:dyDescent="0.25">
      <c r="B26" s="28" t="s">
        <v>3</v>
      </c>
      <c r="C26" s="52"/>
      <c r="D26" s="52"/>
      <c r="E26" s="49"/>
      <c r="F26" s="49"/>
      <c r="G26" s="48"/>
      <c r="H26" s="48"/>
      <c r="I26" s="33"/>
      <c r="J26" s="48"/>
      <c r="K26" s="48"/>
      <c r="L26" s="48"/>
      <c r="M26" s="48"/>
    </row>
    <row r="27" spans="2:13" x14ac:dyDescent="0.25">
      <c r="B27" s="29" t="s">
        <v>2</v>
      </c>
      <c r="C27" s="39">
        <f t="shared" ref="C27:D34" si="1">K6</f>
        <v>14.0625</v>
      </c>
      <c r="D27" s="39">
        <f t="shared" si="1"/>
        <v>4.6875</v>
      </c>
      <c r="E27" s="32">
        <f>C27*J20</f>
        <v>847341.39377947489</v>
      </c>
      <c r="F27" s="32">
        <f>D27*J19</f>
        <v>201747.95089987497</v>
      </c>
      <c r="G27" s="42">
        <f t="shared" ref="G27:G34" si="2">E27+F27</f>
        <v>1049089.3446793498</v>
      </c>
      <c r="H27" s="42">
        <f t="shared" ref="H27:H34" si="3">G27*1.25</f>
        <v>1311361.6808491873</v>
      </c>
      <c r="I27" s="43">
        <f t="shared" ref="I27:I34" si="4">I6</f>
        <v>260</v>
      </c>
      <c r="J27" s="42">
        <f t="shared" ref="J27:J34" si="5">H27/I27</f>
        <v>5043.698772496874</v>
      </c>
      <c r="K27" s="42">
        <f>H27*100/90/I27</f>
        <v>5604.1097472187503</v>
      </c>
      <c r="L27" s="42">
        <f>H27*100/80/I27</f>
        <v>6304.6234656210936</v>
      </c>
      <c r="M27" s="42">
        <f>H27*100/70/I27</f>
        <v>7205.2839607098213</v>
      </c>
    </row>
    <row r="28" spans="2:13" x14ac:dyDescent="0.25">
      <c r="B28" s="28" t="s">
        <v>4</v>
      </c>
      <c r="C28" s="39">
        <f t="shared" si="1"/>
        <v>11.8125</v>
      </c>
      <c r="D28" s="39">
        <f t="shared" si="1"/>
        <v>3.9375</v>
      </c>
      <c r="E28" s="21">
        <f>C28*J20</f>
        <v>711766.77077475889</v>
      </c>
      <c r="F28" s="21">
        <f>D28*J19</f>
        <v>169468.27875589495</v>
      </c>
      <c r="G28" s="41">
        <f t="shared" si="2"/>
        <v>881235.04953065387</v>
      </c>
      <c r="H28" s="42">
        <f t="shared" si="3"/>
        <v>1101543.8119133173</v>
      </c>
      <c r="I28" s="43">
        <f t="shared" si="4"/>
        <v>240</v>
      </c>
      <c r="J28" s="42">
        <f t="shared" si="5"/>
        <v>4589.7658829721559</v>
      </c>
      <c r="K28" s="42">
        <f>H28*100/90/I28</f>
        <v>5099.7398699690621</v>
      </c>
      <c r="L28" s="42">
        <f t="shared" ref="L28:L34" si="6">H28*100/80/I28</f>
        <v>5737.2073537151937</v>
      </c>
      <c r="M28" s="42">
        <f t="shared" ref="M28:M34" si="7">H28*100/70/I28</f>
        <v>6556.8084042459368</v>
      </c>
    </row>
    <row r="29" spans="2:13" x14ac:dyDescent="0.25">
      <c r="B29" s="29" t="s">
        <v>5</v>
      </c>
      <c r="C29" s="39">
        <f t="shared" si="1"/>
        <v>16.875</v>
      </c>
      <c r="D29" s="39">
        <f t="shared" si="1"/>
        <v>5.625</v>
      </c>
      <c r="E29" s="32">
        <f>C29*J20</f>
        <v>1016809.6725353699</v>
      </c>
      <c r="F29" s="32">
        <f>D29*J19</f>
        <v>242097.54107984994</v>
      </c>
      <c r="G29" s="42">
        <f t="shared" si="2"/>
        <v>1258907.2136152198</v>
      </c>
      <c r="H29" s="42">
        <f t="shared" si="3"/>
        <v>1573634.0170190248</v>
      </c>
      <c r="I29" s="43">
        <f t="shared" si="4"/>
        <v>480</v>
      </c>
      <c r="J29" s="42">
        <f t="shared" si="5"/>
        <v>3278.4042021229684</v>
      </c>
      <c r="K29" s="42">
        <f t="shared" ref="K29:K34" si="8">H29*100/90/I29</f>
        <v>3642.6713356921873</v>
      </c>
      <c r="L29" s="42">
        <f t="shared" si="6"/>
        <v>4098.0052526537102</v>
      </c>
      <c r="M29" s="42">
        <f t="shared" si="7"/>
        <v>4683.4345744613829</v>
      </c>
    </row>
    <row r="30" spans="2:13" ht="30" customHeight="1" x14ac:dyDescent="0.25">
      <c r="B30" s="28" t="s">
        <v>6</v>
      </c>
      <c r="C30" s="39">
        <f t="shared" si="1"/>
        <v>16.875</v>
      </c>
      <c r="D30" s="39">
        <f t="shared" si="1"/>
        <v>5.625</v>
      </c>
      <c r="E30" s="21">
        <f>C30*J20</f>
        <v>1016809.6725353699</v>
      </c>
      <c r="F30" s="21">
        <f>D30*J19</f>
        <v>242097.54107984994</v>
      </c>
      <c r="G30" s="41">
        <f t="shared" si="2"/>
        <v>1258907.2136152198</v>
      </c>
      <c r="H30" s="42">
        <f t="shared" si="3"/>
        <v>1573634.0170190248</v>
      </c>
      <c r="I30" s="43">
        <f t="shared" si="4"/>
        <v>576</v>
      </c>
      <c r="J30" s="42">
        <f t="shared" si="5"/>
        <v>2732.0035017691403</v>
      </c>
      <c r="K30" s="42">
        <f t="shared" si="8"/>
        <v>3035.5594464101559</v>
      </c>
      <c r="L30" s="42">
        <f t="shared" si="6"/>
        <v>3415.0043772114254</v>
      </c>
      <c r="M30" s="42">
        <f t="shared" si="7"/>
        <v>3902.8621453844858</v>
      </c>
    </row>
    <row r="31" spans="2:13" ht="36.75" customHeight="1" x14ac:dyDescent="0.25">
      <c r="B31" s="29" t="s">
        <v>7</v>
      </c>
      <c r="C31" s="39">
        <f t="shared" si="1"/>
        <v>16.875</v>
      </c>
      <c r="D31" s="39">
        <f t="shared" si="1"/>
        <v>5.625</v>
      </c>
      <c r="E31" s="32">
        <f>C31*J20</f>
        <v>1016809.6725353699</v>
      </c>
      <c r="F31" s="32">
        <f>D31*J19</f>
        <v>242097.54107984994</v>
      </c>
      <c r="G31" s="42">
        <f t="shared" si="2"/>
        <v>1258907.2136152198</v>
      </c>
      <c r="H31" s="42">
        <f t="shared" si="3"/>
        <v>1573634.0170190248</v>
      </c>
      <c r="I31" s="43">
        <f t="shared" si="4"/>
        <v>720</v>
      </c>
      <c r="J31" s="42">
        <f t="shared" si="5"/>
        <v>2185.6028014153121</v>
      </c>
      <c r="K31" s="42">
        <f t="shared" si="8"/>
        <v>2428.4475571281246</v>
      </c>
      <c r="L31" s="42">
        <f t="shared" si="6"/>
        <v>2732.0035017691403</v>
      </c>
      <c r="M31" s="42">
        <f t="shared" si="7"/>
        <v>3122.2897163075886</v>
      </c>
    </row>
    <row r="32" spans="2:13" ht="24.75" customHeight="1" x14ac:dyDescent="0.25">
      <c r="B32" s="28" t="s">
        <v>8</v>
      </c>
      <c r="C32" s="39">
        <f t="shared" si="1"/>
        <v>11.8125</v>
      </c>
      <c r="D32" s="39">
        <f t="shared" si="1"/>
        <v>3.9375</v>
      </c>
      <c r="E32" s="21">
        <f>C32*J20</f>
        <v>711766.77077475889</v>
      </c>
      <c r="F32" s="21">
        <f>D32*J19</f>
        <v>169468.27875589495</v>
      </c>
      <c r="G32" s="41">
        <f t="shared" si="2"/>
        <v>881235.04953065387</v>
      </c>
      <c r="H32" s="42">
        <f t="shared" si="3"/>
        <v>1101543.8119133173</v>
      </c>
      <c r="I32" s="43">
        <f t="shared" si="4"/>
        <v>360</v>
      </c>
      <c r="J32" s="42">
        <f t="shared" si="5"/>
        <v>3059.8439219814368</v>
      </c>
      <c r="K32" s="42">
        <f t="shared" si="8"/>
        <v>3399.8265799793744</v>
      </c>
      <c r="L32" s="42">
        <f t="shared" si="6"/>
        <v>3824.8049024767961</v>
      </c>
      <c r="M32" s="42">
        <f t="shared" si="7"/>
        <v>4371.2056028306242</v>
      </c>
    </row>
    <row r="33" spans="2:13" ht="21" customHeight="1" x14ac:dyDescent="0.25">
      <c r="B33" s="29" t="s">
        <v>9</v>
      </c>
      <c r="C33" s="39">
        <f t="shared" si="1"/>
        <v>16.875</v>
      </c>
      <c r="D33" s="39">
        <f t="shared" si="1"/>
        <v>5.625</v>
      </c>
      <c r="E33" s="32">
        <f>C33*J20</f>
        <v>1016809.6725353699</v>
      </c>
      <c r="F33" s="32">
        <f>D33*J19</f>
        <v>242097.54107984994</v>
      </c>
      <c r="G33" s="42">
        <f t="shared" si="2"/>
        <v>1258907.2136152198</v>
      </c>
      <c r="H33" s="42">
        <f t="shared" si="3"/>
        <v>1573634.0170190248</v>
      </c>
      <c r="I33" s="43">
        <f t="shared" si="4"/>
        <v>720</v>
      </c>
      <c r="J33" s="42">
        <f t="shared" si="5"/>
        <v>2185.6028014153121</v>
      </c>
      <c r="K33" s="42">
        <f t="shared" si="8"/>
        <v>2428.4475571281246</v>
      </c>
      <c r="L33" s="42">
        <f t="shared" si="6"/>
        <v>2732.0035017691403</v>
      </c>
      <c r="M33" s="42">
        <f t="shared" si="7"/>
        <v>3122.2897163075886</v>
      </c>
    </row>
    <row r="34" spans="2:13" ht="27" customHeight="1" x14ac:dyDescent="0.25">
      <c r="B34" s="28" t="s">
        <v>10</v>
      </c>
      <c r="C34" s="39">
        <f t="shared" si="1"/>
        <v>11.8125</v>
      </c>
      <c r="D34" s="39">
        <f t="shared" si="1"/>
        <v>3.9375</v>
      </c>
      <c r="E34" s="21">
        <f>C34*J20</f>
        <v>711766.77077475889</v>
      </c>
      <c r="F34" s="21">
        <f>D34*J19</f>
        <v>169468.27875589495</v>
      </c>
      <c r="G34" s="41">
        <f t="shared" si="2"/>
        <v>881235.04953065387</v>
      </c>
      <c r="H34" s="42">
        <f t="shared" si="3"/>
        <v>1101543.8119133173</v>
      </c>
      <c r="I34" s="43">
        <f t="shared" si="4"/>
        <v>360</v>
      </c>
      <c r="J34" s="42">
        <f t="shared" si="5"/>
        <v>3059.8439219814368</v>
      </c>
      <c r="K34" s="42">
        <f t="shared" si="8"/>
        <v>3399.8265799793744</v>
      </c>
      <c r="L34" s="42">
        <f t="shared" si="6"/>
        <v>3824.8049024767961</v>
      </c>
      <c r="M34" s="42">
        <f t="shared" si="7"/>
        <v>4371.2056028306242</v>
      </c>
    </row>
    <row r="35" spans="2:13" ht="15.75" x14ac:dyDescent="0.25">
      <c r="B35" s="30"/>
      <c r="C35" s="31"/>
      <c r="D35" s="31"/>
      <c r="E35" s="40"/>
      <c r="F35" s="40"/>
      <c r="G35" s="40"/>
      <c r="H35" s="40"/>
      <c r="I35" s="40"/>
      <c r="J35" s="40"/>
      <c r="K35" s="40"/>
      <c r="L35" s="40"/>
      <c r="M35" s="40"/>
    </row>
    <row r="38" spans="2:13" x14ac:dyDescent="0.25">
      <c r="C38" s="5"/>
      <c r="D38" s="5"/>
      <c r="E38" s="5"/>
      <c r="F38" s="5"/>
      <c r="G38" s="5"/>
      <c r="H38" s="5"/>
      <c r="I38" s="5"/>
      <c r="J38" s="5"/>
    </row>
    <row r="39" spans="2:13" x14ac:dyDescent="0.25">
      <c r="C39" s="5"/>
      <c r="D39" s="5"/>
      <c r="E39" s="5"/>
      <c r="F39" s="5"/>
      <c r="G39" s="5"/>
      <c r="H39" s="5"/>
      <c r="I39" s="56"/>
      <c r="J39" s="57"/>
      <c r="K39" s="46"/>
      <c r="L39" s="46"/>
    </row>
    <row r="40" spans="2:13" x14ac:dyDescent="0.25">
      <c r="C40" s="5"/>
      <c r="D40" s="5"/>
      <c r="E40" s="5"/>
      <c r="F40" s="58"/>
      <c r="G40" s="5"/>
      <c r="H40" s="5"/>
      <c r="I40" s="5"/>
      <c r="J40" s="5"/>
    </row>
    <row r="41" spans="2:13" x14ac:dyDescent="0.25">
      <c r="C41" s="5"/>
      <c r="D41" s="5"/>
      <c r="E41" s="5"/>
      <c r="F41" s="58"/>
      <c r="G41" s="5"/>
      <c r="H41" s="5"/>
      <c r="I41" s="5"/>
      <c r="J41" s="57"/>
      <c r="K41" s="46"/>
      <c r="L41" s="46"/>
    </row>
    <row r="42" spans="2:13" x14ac:dyDescent="0.25">
      <c r="C42" s="5"/>
      <c r="D42" s="5"/>
      <c r="E42" s="5"/>
      <c r="F42" s="58"/>
      <c r="G42" s="5"/>
      <c r="H42" s="5"/>
      <c r="I42" s="5"/>
      <c r="J42" s="5"/>
    </row>
    <row r="43" spans="2:13" x14ac:dyDescent="0.25">
      <c r="C43" s="5"/>
      <c r="D43" s="5"/>
      <c r="E43" s="5"/>
      <c r="F43" s="58"/>
      <c r="G43" s="58"/>
      <c r="H43" s="58"/>
      <c r="I43" s="5"/>
      <c r="J43" s="5"/>
    </row>
    <row r="44" spans="2:13" x14ac:dyDescent="0.25">
      <c r="C44" s="5"/>
      <c r="D44" s="5"/>
      <c r="E44" s="5"/>
      <c r="F44" s="5"/>
      <c r="G44" s="58"/>
      <c r="H44" s="58"/>
      <c r="I44" s="5"/>
      <c r="J44" s="5"/>
    </row>
    <row r="45" spans="2:13" x14ac:dyDescent="0.25">
      <c r="C45" s="5"/>
      <c r="D45" s="5"/>
      <c r="E45" s="5"/>
      <c r="F45" s="5"/>
      <c r="G45" s="5"/>
      <c r="H45" s="5"/>
      <c r="I45" s="58"/>
      <c r="J45" s="5"/>
    </row>
    <row r="46" spans="2:13" x14ac:dyDescent="0.25">
      <c r="C46" s="5"/>
      <c r="D46" s="5"/>
      <c r="E46" s="5"/>
      <c r="F46" s="5"/>
      <c r="G46" s="5"/>
      <c r="H46" s="5"/>
      <c r="I46" s="5"/>
      <c r="J46" s="5"/>
    </row>
    <row r="47" spans="2:13" x14ac:dyDescent="0.25">
      <c r="C47" s="5"/>
      <c r="D47" s="59"/>
      <c r="E47" s="5"/>
      <c r="F47" s="57"/>
      <c r="G47" s="5"/>
      <c r="H47" s="5"/>
      <c r="I47" s="5"/>
      <c r="J47" s="5"/>
    </row>
    <row r="48" spans="2:13" x14ac:dyDescent="0.25">
      <c r="C48" s="5"/>
      <c r="D48" s="60"/>
      <c r="E48" s="5"/>
      <c r="F48" s="5"/>
      <c r="G48" s="5"/>
      <c r="H48" s="5"/>
      <c r="I48" s="5"/>
      <c r="J48" s="5"/>
    </row>
    <row r="49" spans="3:10" x14ac:dyDescent="0.25">
      <c r="C49" s="5"/>
      <c r="D49" s="60"/>
      <c r="E49" s="5"/>
      <c r="F49" s="5"/>
      <c r="G49" s="5"/>
      <c r="H49" s="5"/>
      <c r="I49" s="5"/>
      <c r="J49" s="5"/>
    </row>
    <row r="50" spans="3:10" x14ac:dyDescent="0.25">
      <c r="C50" s="5"/>
      <c r="D50" s="60"/>
      <c r="E50" s="5"/>
      <c r="F50" s="5"/>
      <c r="G50" s="5"/>
      <c r="H50" s="5"/>
      <c r="I50" s="5"/>
      <c r="J50" s="5"/>
    </row>
    <row r="51" spans="3:10" x14ac:dyDescent="0.25">
      <c r="C51" s="5"/>
      <c r="D51" s="60"/>
      <c r="E51" s="5"/>
      <c r="F51" s="5"/>
      <c r="G51" s="5"/>
      <c r="H51" s="5"/>
      <c r="I51" s="5"/>
      <c r="J51" s="5"/>
    </row>
    <row r="52" spans="3:10" x14ac:dyDescent="0.25">
      <c r="C52" s="5"/>
      <c r="D52" s="59"/>
      <c r="E52" s="5"/>
      <c r="F52" s="5"/>
      <c r="G52" s="5"/>
      <c r="H52" s="5"/>
      <c r="I52" s="5"/>
      <c r="J52" s="5"/>
    </row>
    <row r="53" spans="3:10" x14ac:dyDescent="0.25">
      <c r="C53" s="5"/>
      <c r="D53" s="60"/>
      <c r="E53" s="5"/>
      <c r="F53" s="5"/>
      <c r="G53" s="5"/>
      <c r="H53" s="5"/>
      <c r="I53" s="5"/>
      <c r="J53" s="5"/>
    </row>
    <row r="54" spans="3:10" x14ac:dyDescent="0.25">
      <c r="C54" s="5"/>
      <c r="D54" s="60"/>
      <c r="E54" s="5"/>
      <c r="F54" s="5"/>
      <c r="G54" s="5"/>
      <c r="H54" s="5"/>
      <c r="I54" s="5"/>
      <c r="J54" s="5"/>
    </row>
    <row r="55" spans="3:10" x14ac:dyDescent="0.25">
      <c r="C55" s="5"/>
      <c r="D55" s="60"/>
      <c r="E55" s="5"/>
      <c r="F55" s="5"/>
      <c r="G55" s="5"/>
      <c r="H55" s="5"/>
      <c r="I55" s="5"/>
      <c r="J55" s="5"/>
    </row>
    <row r="56" spans="3:10" x14ac:dyDescent="0.25">
      <c r="C56" s="5"/>
      <c r="D56" s="60"/>
      <c r="E56" s="5"/>
      <c r="F56" s="5"/>
      <c r="G56" s="5"/>
      <c r="H56" s="5"/>
      <c r="I56" s="5"/>
      <c r="J56" s="5"/>
    </row>
    <row r="57" spans="3:10" x14ac:dyDescent="0.25">
      <c r="C57" s="5"/>
      <c r="D57" s="60"/>
      <c r="E57" s="5"/>
      <c r="F57" s="5"/>
      <c r="G57" s="5"/>
      <c r="H57" s="5"/>
      <c r="I57" s="5"/>
      <c r="J57" s="5"/>
    </row>
    <row r="58" spans="3:10" x14ac:dyDescent="0.25">
      <c r="C58" s="5"/>
      <c r="D58" s="59"/>
      <c r="E58" s="5"/>
      <c r="F58" s="5"/>
      <c r="G58" s="5"/>
      <c r="H58" s="5"/>
      <c r="I58" s="5"/>
      <c r="J58" s="5"/>
    </row>
    <row r="59" spans="3:10" x14ac:dyDescent="0.25">
      <c r="C59" s="5"/>
      <c r="D59" s="60"/>
      <c r="E59" s="5"/>
      <c r="F59" s="5"/>
      <c r="G59" s="5"/>
      <c r="H59" s="5"/>
      <c r="I59" s="5"/>
      <c r="J59" s="5"/>
    </row>
    <row r="60" spans="3:10" x14ac:dyDescent="0.25">
      <c r="C60" s="5"/>
      <c r="D60" s="60"/>
      <c r="E60" s="5"/>
      <c r="F60" s="5"/>
      <c r="G60" s="5"/>
      <c r="H60" s="5"/>
      <c r="I60" s="5"/>
      <c r="J60" s="5"/>
    </row>
    <row r="61" spans="3:10" x14ac:dyDescent="0.25">
      <c r="C61" s="5"/>
      <c r="D61" s="59"/>
      <c r="E61" s="5"/>
      <c r="F61" s="5"/>
      <c r="G61" s="5"/>
      <c r="H61" s="5"/>
      <c r="I61" s="5"/>
      <c r="J61" s="5"/>
    </row>
    <row r="62" spans="3:10" x14ac:dyDescent="0.25">
      <c r="C62" s="5"/>
      <c r="D62" s="60"/>
      <c r="E62" s="5"/>
      <c r="F62" s="5"/>
      <c r="G62" s="5"/>
      <c r="H62" s="5"/>
      <c r="I62" s="5"/>
      <c r="J62" s="5"/>
    </row>
    <row r="63" spans="3:10" x14ac:dyDescent="0.25">
      <c r="C63" s="5"/>
      <c r="D63" s="60"/>
      <c r="E63" s="5"/>
      <c r="F63" s="5"/>
      <c r="G63" s="5"/>
      <c r="H63" s="5"/>
      <c r="I63" s="5"/>
      <c r="J63" s="5"/>
    </row>
    <row r="64" spans="3:10" x14ac:dyDescent="0.25">
      <c r="C64" s="5"/>
      <c r="D64" s="60"/>
      <c r="E64" s="5"/>
      <c r="F64" s="5"/>
      <c r="G64" s="5"/>
      <c r="H64" s="5"/>
      <c r="I64" s="5"/>
      <c r="J64" s="5"/>
    </row>
    <row r="65" spans="3:10" x14ac:dyDescent="0.25">
      <c r="C65" s="5"/>
      <c r="D65" s="60"/>
      <c r="E65" s="5"/>
      <c r="F65" s="5"/>
      <c r="G65" s="5"/>
      <c r="H65" s="5"/>
      <c r="I65" s="5"/>
      <c r="J65" s="5"/>
    </row>
    <row r="66" spans="3:10" x14ac:dyDescent="0.25">
      <c r="C66" s="5"/>
      <c r="D66" s="60"/>
      <c r="E66" s="5"/>
      <c r="F66" s="5"/>
      <c r="G66" s="5"/>
      <c r="H66" s="5"/>
      <c r="I66" s="5"/>
      <c r="J66" s="5"/>
    </row>
    <row r="67" spans="3:10" x14ac:dyDescent="0.25">
      <c r="C67" s="5"/>
      <c r="D67" s="5"/>
      <c r="E67" s="5"/>
      <c r="F67" s="5"/>
      <c r="G67" s="5"/>
      <c r="H67" s="5"/>
      <c r="I67" s="5"/>
      <c r="J67" s="5"/>
    </row>
    <row r="68" spans="3:10" x14ac:dyDescent="0.25">
      <c r="C68" s="5"/>
      <c r="D68" s="5"/>
      <c r="E68" s="5"/>
      <c r="F68" s="5"/>
      <c r="G68" s="5"/>
      <c r="H68" s="5"/>
      <c r="I68" s="5"/>
      <c r="J68" s="5"/>
    </row>
    <row r="69" spans="3:10" x14ac:dyDescent="0.25">
      <c r="C69" s="5"/>
      <c r="D69" s="5"/>
      <c r="E69" s="5"/>
      <c r="F69" s="5"/>
      <c r="G69" s="5"/>
      <c r="H69" s="5"/>
      <c r="I69" s="5"/>
      <c r="J69" s="5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9"/>
  <sheetViews>
    <sheetView topLeftCell="A13" zoomScale="110" zoomScaleNormal="110" workbookViewId="0">
      <selection activeCell="D12" sqref="D12"/>
    </sheetView>
  </sheetViews>
  <sheetFormatPr defaultRowHeight="15" x14ac:dyDescent="0.25"/>
  <cols>
    <col min="1" max="1" width="2.140625" customWidth="1"/>
    <col min="2" max="2" width="25.28515625" customWidth="1"/>
    <col min="3" max="3" width="16.7109375" customWidth="1"/>
    <col min="4" max="4" width="16.42578125" customWidth="1"/>
    <col min="5" max="6" width="21.28515625" customWidth="1"/>
    <col min="7" max="7" width="17.5703125" customWidth="1"/>
    <col min="8" max="8" width="19.85546875" customWidth="1"/>
    <col min="9" max="9" width="16" customWidth="1"/>
    <col min="10" max="10" width="18.5703125" customWidth="1"/>
    <col min="11" max="11" width="19" customWidth="1"/>
    <col min="12" max="12" width="19.7109375" customWidth="1"/>
    <col min="13" max="13" width="18.85546875" customWidth="1"/>
  </cols>
  <sheetData>
    <row r="1" spans="2:12" x14ac:dyDescent="0.25">
      <c r="B1" s="2"/>
      <c r="D1" s="2"/>
      <c r="E1" s="2"/>
      <c r="F1" s="2"/>
      <c r="G1" s="2"/>
      <c r="H1" s="2"/>
    </row>
    <row r="2" spans="2:12" ht="63" x14ac:dyDescent="0.25">
      <c r="B2" s="62" t="s">
        <v>0</v>
      </c>
      <c r="C2" s="62" t="s">
        <v>11</v>
      </c>
      <c r="D2" s="62" t="s">
        <v>12</v>
      </c>
      <c r="E2" s="63" t="s">
        <v>20</v>
      </c>
      <c r="F2" s="63" t="s">
        <v>34</v>
      </c>
      <c r="G2" s="63" t="s">
        <v>35</v>
      </c>
      <c r="H2" s="62" t="s">
        <v>17</v>
      </c>
      <c r="I2" s="63" t="s">
        <v>18</v>
      </c>
      <c r="J2" s="63" t="s">
        <v>19</v>
      </c>
      <c r="K2" s="63" t="s">
        <v>28</v>
      </c>
      <c r="L2" s="63" t="s">
        <v>29</v>
      </c>
    </row>
    <row r="3" spans="2:12" x14ac:dyDescent="0.25">
      <c r="B3" s="3" t="s">
        <v>1</v>
      </c>
      <c r="C3" s="7"/>
      <c r="D3" s="7"/>
      <c r="E3" s="8"/>
      <c r="F3" s="8"/>
      <c r="G3" s="8"/>
      <c r="H3" s="7"/>
      <c r="I3" s="8"/>
      <c r="J3" s="7"/>
      <c r="K3" s="26"/>
      <c r="L3" s="26"/>
    </row>
    <row r="4" spans="2:12" x14ac:dyDescent="0.25">
      <c r="B4" s="3" t="s">
        <v>2</v>
      </c>
      <c r="C4" s="1">
        <v>10</v>
      </c>
      <c r="D4" s="1">
        <v>7</v>
      </c>
      <c r="E4" s="5">
        <f>Tabela134[[#This Row],[Nº de Turmas]]*Tabela134[[#This Row],[Horas Dia]]*5</f>
        <v>350</v>
      </c>
      <c r="F4" s="6">
        <f>E4*E4/(E4/3*2)</f>
        <v>525</v>
      </c>
      <c r="G4" s="34">
        <f>Tabela134[[#This Row],[Horas que precisam ser contratadas considerando hora-atividade]]/40</f>
        <v>13.125</v>
      </c>
      <c r="H4" s="1">
        <v>13</v>
      </c>
      <c r="I4" s="5">
        <f>Tabela134[[#This Row],[Nº de Turmas]]*Tabela134[[#This Row],[Nº de alunos por turma]]</f>
        <v>130</v>
      </c>
      <c r="J4" s="36">
        <f>Tabela134[[#This Row],[Total de alunos]]/Tabela134[[#This Row],[Nº Professores necessarios 40h]]</f>
        <v>9.9047619047619051</v>
      </c>
      <c r="K4" s="37">
        <f>Tabela134[[#This Row],[Nº Professores necessarios 40h]]*75%</f>
        <v>9.84375</v>
      </c>
      <c r="L4" s="37">
        <f>Tabela134[[#This Row],[Nº Professores necessarios 40h]]*25%</f>
        <v>3.28125</v>
      </c>
    </row>
    <row r="5" spans="2:12" x14ac:dyDescent="0.25">
      <c r="B5" s="3" t="s">
        <v>3</v>
      </c>
      <c r="C5" s="7"/>
      <c r="D5" s="7"/>
      <c r="E5" s="8"/>
      <c r="F5" s="9"/>
      <c r="G5" s="35"/>
      <c r="H5" s="7"/>
      <c r="I5" s="8"/>
      <c r="J5" s="53"/>
      <c r="K5" s="38"/>
      <c r="L5" s="38"/>
    </row>
    <row r="6" spans="2:12" x14ac:dyDescent="0.25">
      <c r="B6" s="3" t="s">
        <v>2</v>
      </c>
      <c r="C6" s="1">
        <v>20</v>
      </c>
      <c r="D6" s="1">
        <v>5</v>
      </c>
      <c r="E6" s="5">
        <f>Tabela134[[#This Row],[Nº de Turmas]]*Tabela134[[#This Row],[Horas Dia]]*5</f>
        <v>500</v>
      </c>
      <c r="F6" s="6">
        <f t="shared" ref="F6:F13" si="0">E6*E6/(E6/3*2)</f>
        <v>750</v>
      </c>
      <c r="G6" s="34">
        <f>Tabela134[[#This Row],[Horas que precisam ser contratadas considerando hora-atividade]]/40</f>
        <v>18.75</v>
      </c>
      <c r="H6" s="1">
        <v>13</v>
      </c>
      <c r="I6" s="5">
        <f>Tabela134[[#This Row],[Nº de Turmas]]*Tabela134[[#This Row],[Nº de alunos por turma]]</f>
        <v>260</v>
      </c>
      <c r="J6" s="36">
        <f>Tabela134[[#This Row],[Total de alunos]]/Tabela134[[#This Row],[Nº Professores necessarios 40h]]</f>
        <v>13.866666666666667</v>
      </c>
      <c r="K6" s="37">
        <f>Tabela134[[#This Row],[Nº Professores necessarios 40h]]*75%</f>
        <v>14.0625</v>
      </c>
      <c r="L6" s="37">
        <f>Tabela134[[#This Row],[Nº Professores necessarios 40h]]*25%</f>
        <v>4.6875</v>
      </c>
    </row>
    <row r="7" spans="2:12" x14ac:dyDescent="0.25">
      <c r="B7" s="3" t="s">
        <v>4</v>
      </c>
      <c r="C7" s="1">
        <v>6</v>
      </c>
      <c r="D7" s="1">
        <v>7</v>
      </c>
      <c r="E7" s="5">
        <f>Tabela134[[#This Row],[Nº de Turmas]]*Tabela134[[#This Row],[Horas Dia]]*5</f>
        <v>210</v>
      </c>
      <c r="F7" s="6">
        <f t="shared" si="0"/>
        <v>315</v>
      </c>
      <c r="G7" s="34">
        <f>Tabela134[[#This Row],[Horas que precisam ser contratadas considerando hora-atividade]]/40</f>
        <v>7.875</v>
      </c>
      <c r="H7" s="1">
        <v>20</v>
      </c>
      <c r="I7" s="5">
        <f>Tabela134[[#This Row],[Nº de Turmas]]*Tabela134[[#This Row],[Nº de alunos por turma]]</f>
        <v>120</v>
      </c>
      <c r="J7" s="36">
        <f>Tabela134[[#This Row],[Total de alunos]]/Tabela134[[#This Row],[Nº Professores necessarios 40h]]</f>
        <v>15.238095238095237</v>
      </c>
      <c r="K7" s="37">
        <f>Tabela134[[#This Row],[Nº Professores necessarios 40h]]*75%</f>
        <v>5.90625</v>
      </c>
      <c r="L7" s="37">
        <f>Tabela134[[#This Row],[Nº Professores necessarios 40h]]*25%</f>
        <v>1.96875</v>
      </c>
    </row>
    <row r="8" spans="2:12" x14ac:dyDescent="0.25">
      <c r="B8" s="3" t="s">
        <v>5</v>
      </c>
      <c r="C8" s="1">
        <v>12</v>
      </c>
      <c r="D8" s="1">
        <v>5</v>
      </c>
      <c r="E8" s="5">
        <f>Tabela134[[#This Row],[Nº de Turmas]]*Tabela134[[#This Row],[Horas Dia]]*5</f>
        <v>300</v>
      </c>
      <c r="F8" s="6">
        <f t="shared" si="0"/>
        <v>450</v>
      </c>
      <c r="G8" s="34">
        <f>Tabela134[[#This Row],[Horas que precisam ser contratadas considerando hora-atividade]]/40</f>
        <v>11.25</v>
      </c>
      <c r="H8" s="1">
        <v>20</v>
      </c>
      <c r="I8" s="5">
        <f>Tabela134[[#This Row],[Nº de Turmas]]*Tabela134[[#This Row],[Nº de alunos por turma]]</f>
        <v>240</v>
      </c>
      <c r="J8" s="36">
        <f>Tabela134[[#This Row],[Total de alunos]]/Tabela134[[#This Row],[Nº Professores necessarios 40h]]</f>
        <v>21.333333333333332</v>
      </c>
      <c r="K8" s="37">
        <f>Tabela134[[#This Row],[Nº Professores necessarios 40h]]*75%</f>
        <v>8.4375</v>
      </c>
      <c r="L8" s="37">
        <f>Tabela134[[#This Row],[Nº Professores necessarios 40h]]*25%</f>
        <v>2.8125</v>
      </c>
    </row>
    <row r="9" spans="2:12" ht="30.75" customHeight="1" x14ac:dyDescent="0.25">
      <c r="B9" s="3" t="s">
        <v>6</v>
      </c>
      <c r="C9" s="1">
        <v>12</v>
      </c>
      <c r="D9" s="1">
        <v>5</v>
      </c>
      <c r="E9" s="5">
        <f>Tabela134[[#This Row],[Nº de Turmas]]*Tabela134[[#This Row],[Horas Dia]]*5</f>
        <v>300</v>
      </c>
      <c r="F9" s="6">
        <f t="shared" si="0"/>
        <v>450</v>
      </c>
      <c r="G9" s="34">
        <f>Tabela134[[#This Row],[Horas que precisam ser contratadas considerando hora-atividade]]/40</f>
        <v>11.25</v>
      </c>
      <c r="H9" s="1">
        <v>24</v>
      </c>
      <c r="I9" s="5">
        <f>Tabela134[[#This Row],[Nº de Turmas]]*Tabela134[[#This Row],[Nº de alunos por turma]]</f>
        <v>288</v>
      </c>
      <c r="J9" s="36">
        <f>Tabela134[[#This Row],[Total de alunos]]/Tabela134[[#This Row],[Nº Professores necessarios 40h]]</f>
        <v>25.6</v>
      </c>
      <c r="K9" s="37">
        <f>Tabela134[[#This Row],[Nº Professores necessarios 40h]]*75%</f>
        <v>8.4375</v>
      </c>
      <c r="L9" s="37">
        <f>Tabela134[[#This Row],[Nº Professores necessarios 40h]]*25%</f>
        <v>2.8125</v>
      </c>
    </row>
    <row r="10" spans="2:12" ht="26.25" customHeight="1" x14ac:dyDescent="0.25">
      <c r="B10" s="3" t="s">
        <v>7</v>
      </c>
      <c r="C10" s="1">
        <v>12</v>
      </c>
      <c r="D10" s="1">
        <v>5</v>
      </c>
      <c r="E10" s="5">
        <f>Tabela134[[#This Row],[Nº de Turmas]]*Tabela134[[#This Row],[Horas Dia]]*5</f>
        <v>300</v>
      </c>
      <c r="F10" s="6">
        <f t="shared" si="0"/>
        <v>450</v>
      </c>
      <c r="G10" s="34">
        <f>Tabela134[[#This Row],[Horas que precisam ser contratadas considerando hora-atividade]]/40</f>
        <v>11.25</v>
      </c>
      <c r="H10" s="1">
        <v>30</v>
      </c>
      <c r="I10" s="5">
        <f>Tabela134[[#This Row],[Nº de Turmas]]*Tabela134[[#This Row],[Nº de alunos por turma]]</f>
        <v>360</v>
      </c>
      <c r="J10" s="36">
        <f>Tabela134[[#This Row],[Total de alunos]]/Tabela134[[#This Row],[Nº Professores necessarios 40h]]</f>
        <v>32</v>
      </c>
      <c r="K10" s="37">
        <f>Tabela134[[#This Row],[Nº Professores necessarios 40h]]*75%</f>
        <v>8.4375</v>
      </c>
      <c r="L10" s="37">
        <f>Tabela134[[#This Row],[Nº Professores necessarios 40h]]*25%</f>
        <v>2.8125</v>
      </c>
    </row>
    <row r="11" spans="2:12" ht="26.25" customHeight="1" x14ac:dyDescent="0.25">
      <c r="B11" s="3" t="s">
        <v>8</v>
      </c>
      <c r="C11" s="1">
        <v>6</v>
      </c>
      <c r="D11" s="1">
        <v>7</v>
      </c>
      <c r="E11" s="5">
        <f>Tabela134[[#This Row],[Nº de Turmas]]*Tabela134[[#This Row],[Horas Dia]]*5</f>
        <v>210</v>
      </c>
      <c r="F11" s="6">
        <f t="shared" si="0"/>
        <v>315</v>
      </c>
      <c r="G11" s="34">
        <f>Tabela134[[#This Row],[Horas que precisam ser contratadas considerando hora-atividade]]/40</f>
        <v>7.875</v>
      </c>
      <c r="H11" s="1">
        <v>30</v>
      </c>
      <c r="I11" s="5">
        <f>Tabela134[[#This Row],[Nº de Turmas]]*Tabela134[[#This Row],[Nº de alunos por turma]]</f>
        <v>180</v>
      </c>
      <c r="J11" s="36">
        <f>Tabela134[[#This Row],[Total de alunos]]/Tabela134[[#This Row],[Nº Professores necessarios 40h]]</f>
        <v>22.857142857142858</v>
      </c>
      <c r="K11" s="37">
        <f>Tabela134[[#This Row],[Nº Professores necessarios 40h]]*75%</f>
        <v>5.90625</v>
      </c>
      <c r="L11" s="37">
        <f>Tabela134[[#This Row],[Nº Professores necessarios 40h]]*25%</f>
        <v>1.96875</v>
      </c>
    </row>
    <row r="12" spans="2:12" ht="28.5" customHeight="1" x14ac:dyDescent="0.25">
      <c r="B12" s="3" t="s">
        <v>9</v>
      </c>
      <c r="C12" s="1">
        <v>12</v>
      </c>
      <c r="D12" s="1">
        <v>5</v>
      </c>
      <c r="E12" s="5">
        <f>Tabela134[[#This Row],[Nº de Turmas]]*Tabela134[[#This Row],[Horas Dia]]*5</f>
        <v>300</v>
      </c>
      <c r="F12" s="6">
        <f t="shared" si="0"/>
        <v>450</v>
      </c>
      <c r="G12" s="34">
        <f>Tabela134[[#This Row],[Horas que precisam ser contratadas considerando hora-atividade]]/40</f>
        <v>11.25</v>
      </c>
      <c r="H12" s="1">
        <v>30</v>
      </c>
      <c r="I12" s="5">
        <f>Tabela134[[#This Row],[Nº de Turmas]]*Tabela134[[#This Row],[Nº de alunos por turma]]</f>
        <v>360</v>
      </c>
      <c r="J12" s="36">
        <f>Tabela134[[#This Row],[Total de alunos]]/Tabela134[[#This Row],[Nº Professores necessarios 40h]]</f>
        <v>32</v>
      </c>
      <c r="K12" s="37">
        <f>Tabela134[[#This Row],[Nº Professores necessarios 40h]]*75%</f>
        <v>8.4375</v>
      </c>
      <c r="L12" s="37">
        <f>Tabela134[[#This Row],[Nº Professores necessarios 40h]]*25%</f>
        <v>2.8125</v>
      </c>
    </row>
    <row r="13" spans="2:12" ht="28.5" customHeight="1" x14ac:dyDescent="0.25">
      <c r="B13" s="3" t="s">
        <v>10</v>
      </c>
      <c r="C13" s="1">
        <v>6</v>
      </c>
      <c r="D13" s="1">
        <v>7</v>
      </c>
      <c r="E13" s="5">
        <f>Tabela134[[#This Row],[Nº de Turmas]]*Tabela134[[#This Row],[Horas Dia]]*5</f>
        <v>210</v>
      </c>
      <c r="F13" s="6">
        <f t="shared" si="0"/>
        <v>315</v>
      </c>
      <c r="G13" s="34">
        <f>Tabela134[[#This Row],[Horas que precisam ser contratadas considerando hora-atividade]]/40</f>
        <v>7.875</v>
      </c>
      <c r="H13" s="1">
        <v>30</v>
      </c>
      <c r="I13" s="5">
        <f>Tabela134[[#This Row],[Nº de Turmas]]*Tabela134[[#This Row],[Nº de alunos por turma]]</f>
        <v>180</v>
      </c>
      <c r="J13" s="36">
        <f>Tabela134[[#This Row],[Total de alunos]]/Tabela134[[#This Row],[Nº Professores necessarios 40h]]</f>
        <v>22.857142857142858</v>
      </c>
      <c r="K13" s="37">
        <f>Tabela134[[#This Row],[Nº Professores necessarios 40h]]*75%</f>
        <v>5.90625</v>
      </c>
      <c r="L13" s="37">
        <f>Tabela134[[#This Row],[Nº Professores necessarios 40h]]*25%</f>
        <v>1.96875</v>
      </c>
    </row>
    <row r="14" spans="2:12" ht="15.75" x14ac:dyDescent="0.25">
      <c r="B14" s="10"/>
      <c r="C14" s="11"/>
      <c r="D14" s="11"/>
      <c r="E14" s="8"/>
      <c r="F14" s="8"/>
      <c r="G14" s="8"/>
      <c r="H14" s="8"/>
      <c r="I14" s="25"/>
      <c r="J14" s="25"/>
      <c r="K14" s="25"/>
      <c r="L14" s="25"/>
    </row>
    <row r="15" spans="2:12" x14ac:dyDescent="0.25">
      <c r="B15" s="47" t="s">
        <v>16</v>
      </c>
      <c r="C15" s="50"/>
      <c r="D15" s="2"/>
      <c r="E15" s="2"/>
      <c r="F15" s="51"/>
      <c r="G15" s="2"/>
      <c r="H15" s="2"/>
      <c r="I15" s="2"/>
      <c r="J15" s="2"/>
      <c r="K15" s="2"/>
      <c r="L15" s="2"/>
    </row>
    <row r="17" spans="2:13" x14ac:dyDescent="0.25">
      <c r="B17" s="3"/>
      <c r="C17" s="4"/>
      <c r="D17" s="12"/>
    </row>
    <row r="18" spans="2:13" ht="31.5" x14ac:dyDescent="0.25">
      <c r="B18" s="61" t="s">
        <v>13</v>
      </c>
      <c r="C18" s="61" t="s">
        <v>21</v>
      </c>
      <c r="D18" s="64" t="s">
        <v>22</v>
      </c>
      <c r="E18" s="65" t="s">
        <v>23</v>
      </c>
      <c r="F18" s="61" t="s">
        <v>24</v>
      </c>
      <c r="G18" s="61" t="s">
        <v>25</v>
      </c>
      <c r="H18" s="54"/>
      <c r="I18" s="61" t="s">
        <v>26</v>
      </c>
      <c r="J18" s="66" t="s">
        <v>27</v>
      </c>
      <c r="K18" s="55"/>
      <c r="L18" s="55"/>
    </row>
    <row r="19" spans="2:13" x14ac:dyDescent="0.25">
      <c r="B19" s="15" t="s">
        <v>14</v>
      </c>
      <c r="C19" s="17">
        <v>1917.78</v>
      </c>
      <c r="D19" s="18">
        <f>C19*1.4</f>
        <v>2684.8919999999998</v>
      </c>
      <c r="E19" s="23">
        <f>D19/C19-100%</f>
        <v>0.39999999999999991</v>
      </c>
      <c r="F19" s="18">
        <f>(D19+C19)/2</f>
        <v>2301.3359999999998</v>
      </c>
      <c r="G19" s="18">
        <f>F19*1.15</f>
        <v>2646.5363999999995</v>
      </c>
      <c r="H19" s="14"/>
      <c r="I19" s="15" t="s">
        <v>14</v>
      </c>
      <c r="J19" s="17">
        <f>G19*13.33*1.22</f>
        <v>43039.562858639991</v>
      </c>
      <c r="K19" s="6"/>
      <c r="L19" s="6"/>
      <c r="M19" s="13"/>
    </row>
    <row r="20" spans="2:13" x14ac:dyDescent="0.25">
      <c r="B20" s="20" t="s">
        <v>15</v>
      </c>
      <c r="C20" s="21">
        <f>C19*1.4</f>
        <v>2684.8919999999998</v>
      </c>
      <c r="D20" s="22">
        <f>C20*1.4</f>
        <v>3758.8487999999993</v>
      </c>
      <c r="E20" s="24">
        <f>D20/C20-100%</f>
        <v>0.39999999999999991</v>
      </c>
      <c r="F20" s="22">
        <f>(D20+C20)/2</f>
        <v>3221.8703999999998</v>
      </c>
      <c r="G20" s="22">
        <f>F20*1.15</f>
        <v>3705.1509599999995</v>
      </c>
      <c r="H20" s="14"/>
      <c r="I20" s="20" t="s">
        <v>15</v>
      </c>
      <c r="J20" s="21">
        <f>G20*13.33*1.22</f>
        <v>60255.388002095991</v>
      </c>
      <c r="K20" s="6"/>
      <c r="L20" s="6"/>
    </row>
    <row r="21" spans="2:13" x14ac:dyDescent="0.25">
      <c r="B21" s="3"/>
      <c r="C21" s="6"/>
      <c r="D21" s="14"/>
      <c r="E21" s="14"/>
      <c r="F21" s="14"/>
      <c r="G21" s="14"/>
      <c r="H21" s="14"/>
      <c r="I21" s="14"/>
      <c r="J21" s="14"/>
      <c r="K21" s="14"/>
      <c r="L21" s="14"/>
    </row>
    <row r="22" spans="2:13" x14ac:dyDescent="0.25">
      <c r="B22" s="3"/>
      <c r="C22" s="6"/>
      <c r="D22" s="14"/>
      <c r="E22" s="14"/>
      <c r="F22" s="14"/>
      <c r="G22" s="14"/>
      <c r="H22" s="14"/>
      <c r="I22" s="14"/>
      <c r="J22" s="14"/>
      <c r="K22" s="14"/>
      <c r="L22" s="14"/>
    </row>
    <row r="23" spans="2:13" ht="110.25" x14ac:dyDescent="0.25">
      <c r="B23" s="61" t="s">
        <v>0</v>
      </c>
      <c r="C23" s="61" t="s">
        <v>28</v>
      </c>
      <c r="D23" s="61" t="s">
        <v>29</v>
      </c>
      <c r="E23" s="61" t="s">
        <v>31</v>
      </c>
      <c r="F23" s="61" t="s">
        <v>30</v>
      </c>
      <c r="G23" s="61" t="s">
        <v>32</v>
      </c>
      <c r="H23" s="61" t="s">
        <v>36</v>
      </c>
      <c r="I23" s="61" t="s">
        <v>33</v>
      </c>
      <c r="J23" s="61" t="s">
        <v>37</v>
      </c>
      <c r="K23" s="61" t="s">
        <v>38</v>
      </c>
      <c r="L23" s="61" t="s">
        <v>39</v>
      </c>
      <c r="M23" s="61" t="s">
        <v>40</v>
      </c>
    </row>
    <row r="24" spans="2:13" x14ac:dyDescent="0.25">
      <c r="B24" s="28" t="s">
        <v>1</v>
      </c>
      <c r="C24" s="44"/>
      <c r="D24" s="44"/>
      <c r="E24" s="19"/>
      <c r="F24" s="19"/>
      <c r="G24" s="19"/>
      <c r="H24" s="19"/>
      <c r="I24" s="45"/>
      <c r="J24" s="19"/>
      <c r="K24" s="19"/>
      <c r="L24" s="19"/>
      <c r="M24" s="19"/>
    </row>
    <row r="25" spans="2:13" x14ac:dyDescent="0.25">
      <c r="B25" s="29" t="s">
        <v>2</v>
      </c>
      <c r="C25" s="39">
        <f>K4</f>
        <v>9.84375</v>
      </c>
      <c r="D25" s="39">
        <f>L4</f>
        <v>3.28125</v>
      </c>
      <c r="E25" s="32">
        <f>C25*J20</f>
        <v>593138.97564563237</v>
      </c>
      <c r="F25" s="32">
        <f>D25*J19</f>
        <v>141223.56562991248</v>
      </c>
      <c r="G25" s="42">
        <f>E25+F25</f>
        <v>734362.54127554479</v>
      </c>
      <c r="H25" s="42">
        <f>G25*1.25</f>
        <v>917953.17659443105</v>
      </c>
      <c r="I25" s="43">
        <f>I4</f>
        <v>130</v>
      </c>
      <c r="J25" s="42">
        <f>H25/I25</f>
        <v>7061.1782814956232</v>
      </c>
      <c r="K25" s="42">
        <f>H25*100/90/I25</f>
        <v>7845.7536461062491</v>
      </c>
      <c r="L25" s="42">
        <f>H25*100/80/I25</f>
        <v>8826.4728518695301</v>
      </c>
      <c r="M25" s="42">
        <f>H25*100/70/I25</f>
        <v>10087.397544993748</v>
      </c>
    </row>
    <row r="26" spans="2:13" x14ac:dyDescent="0.25">
      <c r="B26" s="28" t="s">
        <v>3</v>
      </c>
      <c r="C26" s="52"/>
      <c r="D26" s="52"/>
      <c r="E26" s="49"/>
      <c r="F26" s="49"/>
      <c r="G26" s="48"/>
      <c r="H26" s="48"/>
      <c r="I26" s="33"/>
      <c r="J26" s="48"/>
      <c r="K26" s="48"/>
      <c r="L26" s="48"/>
      <c r="M26" s="48"/>
    </row>
    <row r="27" spans="2:13" x14ac:dyDescent="0.25">
      <c r="B27" s="29" t="s">
        <v>2</v>
      </c>
      <c r="C27" s="39">
        <f t="shared" ref="C27:D34" si="1">K6</f>
        <v>14.0625</v>
      </c>
      <c r="D27" s="39">
        <f t="shared" si="1"/>
        <v>4.6875</v>
      </c>
      <c r="E27" s="32">
        <f>C27*J20</f>
        <v>847341.39377947489</v>
      </c>
      <c r="F27" s="32">
        <f>D27*J19</f>
        <v>201747.95089987497</v>
      </c>
      <c r="G27" s="42">
        <f t="shared" ref="G27:G34" si="2">E27+F27</f>
        <v>1049089.3446793498</v>
      </c>
      <c r="H27" s="42">
        <f t="shared" ref="H27:H34" si="3">G27*1.25</f>
        <v>1311361.6808491873</v>
      </c>
      <c r="I27" s="43">
        <f t="shared" ref="I27:I34" si="4">I6</f>
        <v>260</v>
      </c>
      <c r="J27" s="42">
        <f t="shared" ref="J27:J34" si="5">H27/I27</f>
        <v>5043.698772496874</v>
      </c>
      <c r="K27" s="42">
        <f>H27*100/90/I27</f>
        <v>5604.1097472187503</v>
      </c>
      <c r="L27" s="42">
        <f>H27*100/80/I27</f>
        <v>6304.6234656210936</v>
      </c>
      <c r="M27" s="42">
        <f>H27*100/70/I27</f>
        <v>7205.2839607098213</v>
      </c>
    </row>
    <row r="28" spans="2:13" x14ac:dyDescent="0.25">
      <c r="B28" s="28" t="s">
        <v>4</v>
      </c>
      <c r="C28" s="39">
        <f t="shared" si="1"/>
        <v>5.90625</v>
      </c>
      <c r="D28" s="39">
        <f t="shared" si="1"/>
        <v>1.96875</v>
      </c>
      <c r="E28" s="21">
        <f>C28*J20</f>
        <v>355883.38538737944</v>
      </c>
      <c r="F28" s="21">
        <f>D28*J19</f>
        <v>84734.139377947475</v>
      </c>
      <c r="G28" s="41">
        <f t="shared" si="2"/>
        <v>440617.52476532693</v>
      </c>
      <c r="H28" s="42">
        <f t="shared" si="3"/>
        <v>550771.90595665865</v>
      </c>
      <c r="I28" s="43">
        <f t="shared" si="4"/>
        <v>120</v>
      </c>
      <c r="J28" s="42">
        <f t="shared" si="5"/>
        <v>4589.7658829721559</v>
      </c>
      <c r="K28" s="42">
        <f>H28*100/90/I28</f>
        <v>5099.7398699690621</v>
      </c>
      <c r="L28" s="42">
        <f t="shared" ref="L28:L34" si="6">H28*100/80/I28</f>
        <v>5737.2073537151937</v>
      </c>
      <c r="M28" s="42">
        <f t="shared" ref="M28:M34" si="7">H28*100/70/I28</f>
        <v>6556.8084042459368</v>
      </c>
    </row>
    <row r="29" spans="2:13" x14ac:dyDescent="0.25">
      <c r="B29" s="29" t="s">
        <v>5</v>
      </c>
      <c r="C29" s="39">
        <f t="shared" si="1"/>
        <v>8.4375</v>
      </c>
      <c r="D29" s="39">
        <f t="shared" si="1"/>
        <v>2.8125</v>
      </c>
      <c r="E29" s="32">
        <f>C29*J20</f>
        <v>508404.83626768494</v>
      </c>
      <c r="F29" s="32">
        <f>D29*J19</f>
        <v>121048.77053992497</v>
      </c>
      <c r="G29" s="42">
        <f t="shared" si="2"/>
        <v>629453.6068076099</v>
      </c>
      <c r="H29" s="42">
        <f t="shared" si="3"/>
        <v>786817.00850951241</v>
      </c>
      <c r="I29" s="43">
        <f t="shared" si="4"/>
        <v>240</v>
      </c>
      <c r="J29" s="42">
        <f t="shared" si="5"/>
        <v>3278.4042021229684</v>
      </c>
      <c r="K29" s="42">
        <f t="shared" ref="K29:K34" si="8">H29*100/90/I29</f>
        <v>3642.6713356921873</v>
      </c>
      <c r="L29" s="42">
        <f t="shared" si="6"/>
        <v>4098.0052526537102</v>
      </c>
      <c r="M29" s="42">
        <f t="shared" si="7"/>
        <v>4683.4345744613829</v>
      </c>
    </row>
    <row r="30" spans="2:13" ht="30" customHeight="1" x14ac:dyDescent="0.25">
      <c r="B30" s="28" t="s">
        <v>6</v>
      </c>
      <c r="C30" s="39">
        <f t="shared" si="1"/>
        <v>8.4375</v>
      </c>
      <c r="D30" s="39">
        <f t="shared" si="1"/>
        <v>2.8125</v>
      </c>
      <c r="E30" s="21">
        <f>C30*J20</f>
        <v>508404.83626768494</v>
      </c>
      <c r="F30" s="21">
        <f>D30*J19</f>
        <v>121048.77053992497</v>
      </c>
      <c r="G30" s="41">
        <f t="shared" si="2"/>
        <v>629453.6068076099</v>
      </c>
      <c r="H30" s="42">
        <f t="shared" si="3"/>
        <v>786817.00850951241</v>
      </c>
      <c r="I30" s="43">
        <f t="shared" si="4"/>
        <v>288</v>
      </c>
      <c r="J30" s="42">
        <f t="shared" si="5"/>
        <v>2732.0035017691403</v>
      </c>
      <c r="K30" s="42">
        <f t="shared" si="8"/>
        <v>3035.5594464101559</v>
      </c>
      <c r="L30" s="42">
        <f t="shared" si="6"/>
        <v>3415.0043772114254</v>
      </c>
      <c r="M30" s="42">
        <f t="shared" si="7"/>
        <v>3902.8621453844858</v>
      </c>
    </row>
    <row r="31" spans="2:13" ht="36.75" customHeight="1" x14ac:dyDescent="0.25">
      <c r="B31" s="29" t="s">
        <v>7</v>
      </c>
      <c r="C31" s="39">
        <f t="shared" si="1"/>
        <v>8.4375</v>
      </c>
      <c r="D31" s="39">
        <f t="shared" si="1"/>
        <v>2.8125</v>
      </c>
      <c r="E31" s="32">
        <f>C31*J20</f>
        <v>508404.83626768494</v>
      </c>
      <c r="F31" s="32">
        <f>D31*J19</f>
        <v>121048.77053992497</v>
      </c>
      <c r="G31" s="42">
        <f t="shared" si="2"/>
        <v>629453.6068076099</v>
      </c>
      <c r="H31" s="42">
        <f t="shared" si="3"/>
        <v>786817.00850951241</v>
      </c>
      <c r="I31" s="43">
        <f t="shared" si="4"/>
        <v>360</v>
      </c>
      <c r="J31" s="42">
        <f t="shared" si="5"/>
        <v>2185.6028014153121</v>
      </c>
      <c r="K31" s="42">
        <f t="shared" si="8"/>
        <v>2428.4475571281246</v>
      </c>
      <c r="L31" s="42">
        <f t="shared" si="6"/>
        <v>2732.0035017691403</v>
      </c>
      <c r="M31" s="42">
        <f t="shared" si="7"/>
        <v>3122.2897163075886</v>
      </c>
    </row>
    <row r="32" spans="2:13" ht="24.75" customHeight="1" x14ac:dyDescent="0.25">
      <c r="B32" s="28" t="s">
        <v>8</v>
      </c>
      <c r="C32" s="39">
        <f t="shared" si="1"/>
        <v>5.90625</v>
      </c>
      <c r="D32" s="39">
        <f t="shared" si="1"/>
        <v>1.96875</v>
      </c>
      <c r="E32" s="21">
        <f>C32*J20</f>
        <v>355883.38538737944</v>
      </c>
      <c r="F32" s="21">
        <f>D32*J19</f>
        <v>84734.139377947475</v>
      </c>
      <c r="G32" s="41">
        <f t="shared" si="2"/>
        <v>440617.52476532693</v>
      </c>
      <c r="H32" s="42">
        <f t="shared" si="3"/>
        <v>550771.90595665865</v>
      </c>
      <c r="I32" s="43">
        <f t="shared" si="4"/>
        <v>180</v>
      </c>
      <c r="J32" s="42">
        <f t="shared" si="5"/>
        <v>3059.8439219814368</v>
      </c>
      <c r="K32" s="42">
        <f t="shared" si="8"/>
        <v>3399.8265799793744</v>
      </c>
      <c r="L32" s="42">
        <f t="shared" si="6"/>
        <v>3824.8049024767961</v>
      </c>
      <c r="M32" s="42">
        <f t="shared" si="7"/>
        <v>4371.2056028306242</v>
      </c>
    </row>
    <row r="33" spans="2:13" ht="21" customHeight="1" x14ac:dyDescent="0.25">
      <c r="B33" s="29" t="s">
        <v>9</v>
      </c>
      <c r="C33" s="39">
        <f t="shared" si="1"/>
        <v>8.4375</v>
      </c>
      <c r="D33" s="39">
        <f t="shared" si="1"/>
        <v>2.8125</v>
      </c>
      <c r="E33" s="32">
        <f>C33*J20</f>
        <v>508404.83626768494</v>
      </c>
      <c r="F33" s="32">
        <f>D33*J19</f>
        <v>121048.77053992497</v>
      </c>
      <c r="G33" s="42">
        <f t="shared" si="2"/>
        <v>629453.6068076099</v>
      </c>
      <c r="H33" s="42">
        <f t="shared" si="3"/>
        <v>786817.00850951241</v>
      </c>
      <c r="I33" s="43">
        <f t="shared" si="4"/>
        <v>360</v>
      </c>
      <c r="J33" s="42">
        <f t="shared" si="5"/>
        <v>2185.6028014153121</v>
      </c>
      <c r="K33" s="42">
        <f t="shared" si="8"/>
        <v>2428.4475571281246</v>
      </c>
      <c r="L33" s="42">
        <f t="shared" si="6"/>
        <v>2732.0035017691403</v>
      </c>
      <c r="M33" s="42">
        <f t="shared" si="7"/>
        <v>3122.2897163075886</v>
      </c>
    </row>
    <row r="34" spans="2:13" ht="27" customHeight="1" x14ac:dyDescent="0.25">
      <c r="B34" s="28" t="s">
        <v>10</v>
      </c>
      <c r="C34" s="39">
        <f t="shared" si="1"/>
        <v>5.90625</v>
      </c>
      <c r="D34" s="39">
        <f t="shared" si="1"/>
        <v>1.96875</v>
      </c>
      <c r="E34" s="21">
        <f>C34*J20</f>
        <v>355883.38538737944</v>
      </c>
      <c r="F34" s="21">
        <f>D34*J19</f>
        <v>84734.139377947475</v>
      </c>
      <c r="G34" s="41">
        <f t="shared" si="2"/>
        <v>440617.52476532693</v>
      </c>
      <c r="H34" s="42">
        <f t="shared" si="3"/>
        <v>550771.90595665865</v>
      </c>
      <c r="I34" s="43">
        <f t="shared" si="4"/>
        <v>180</v>
      </c>
      <c r="J34" s="42">
        <f t="shared" si="5"/>
        <v>3059.8439219814368</v>
      </c>
      <c r="K34" s="42">
        <f t="shared" si="8"/>
        <v>3399.8265799793744</v>
      </c>
      <c r="L34" s="42">
        <f t="shared" si="6"/>
        <v>3824.8049024767961</v>
      </c>
      <c r="M34" s="42">
        <f t="shared" si="7"/>
        <v>4371.2056028306242</v>
      </c>
    </row>
    <row r="35" spans="2:13" ht="15.75" x14ac:dyDescent="0.25">
      <c r="B35" s="30"/>
      <c r="C35" s="31"/>
      <c r="D35" s="31"/>
      <c r="E35" s="40"/>
      <c r="F35" s="40"/>
      <c r="G35" s="40"/>
      <c r="H35" s="40"/>
      <c r="I35" s="40"/>
      <c r="J35" s="40"/>
      <c r="K35" s="40"/>
      <c r="L35" s="40"/>
      <c r="M35" s="40"/>
    </row>
    <row r="38" spans="2:13" x14ac:dyDescent="0.25">
      <c r="C38" s="5"/>
      <c r="D38" s="5"/>
      <c r="E38" s="5"/>
      <c r="F38" s="5"/>
      <c r="G38" s="5"/>
      <c r="H38" s="5"/>
      <c r="I38" s="5"/>
      <c r="J38" s="5"/>
    </row>
    <row r="39" spans="2:13" x14ac:dyDescent="0.25">
      <c r="C39" s="5"/>
      <c r="D39" s="5"/>
      <c r="E39" s="5"/>
      <c r="F39" s="5"/>
      <c r="G39" s="5"/>
      <c r="H39" s="5"/>
      <c r="I39" s="56"/>
      <c r="J39" s="57"/>
      <c r="K39" s="46"/>
      <c r="L39" s="46"/>
    </row>
    <row r="40" spans="2:13" x14ac:dyDescent="0.25">
      <c r="C40" s="5"/>
      <c r="D40" s="5"/>
      <c r="E40" s="5"/>
      <c r="F40" s="58"/>
      <c r="G40" s="5"/>
      <c r="H40" s="5"/>
      <c r="I40" s="5"/>
      <c r="J40" s="5"/>
    </row>
    <row r="41" spans="2:13" x14ac:dyDescent="0.25">
      <c r="C41" s="5"/>
      <c r="D41" s="5"/>
      <c r="E41" s="5"/>
      <c r="F41" s="58"/>
      <c r="G41" s="5"/>
      <c r="H41" s="5"/>
      <c r="I41" s="5"/>
      <c r="J41" s="57"/>
      <c r="K41" s="46"/>
      <c r="L41" s="46"/>
    </row>
    <row r="42" spans="2:13" x14ac:dyDescent="0.25">
      <c r="C42" s="5"/>
      <c r="D42" s="5"/>
      <c r="E42" s="5"/>
      <c r="F42" s="58"/>
      <c r="G42" s="5"/>
      <c r="H42" s="5"/>
      <c r="I42" s="5"/>
      <c r="J42" s="5"/>
    </row>
    <row r="43" spans="2:13" x14ac:dyDescent="0.25">
      <c r="C43" s="5"/>
      <c r="D43" s="5"/>
      <c r="E43" s="5"/>
      <c r="F43" s="58"/>
      <c r="G43" s="58"/>
      <c r="H43" s="58"/>
      <c r="I43" s="5"/>
      <c r="J43" s="5"/>
    </row>
    <row r="44" spans="2:13" x14ac:dyDescent="0.25">
      <c r="C44" s="5"/>
      <c r="D44" s="5"/>
      <c r="E44" s="5"/>
      <c r="F44" s="5"/>
      <c r="G44" s="58"/>
      <c r="H44" s="58"/>
      <c r="I44" s="5"/>
      <c r="J44" s="5"/>
    </row>
    <row r="45" spans="2:13" x14ac:dyDescent="0.25">
      <c r="C45" s="5"/>
      <c r="D45" s="5"/>
      <c r="E45" s="5"/>
      <c r="F45" s="5"/>
      <c r="G45" s="5"/>
      <c r="H45" s="5"/>
      <c r="I45" s="58"/>
      <c r="J45" s="5"/>
    </row>
    <row r="46" spans="2:13" x14ac:dyDescent="0.25">
      <c r="C46" s="5"/>
      <c r="D46" s="5"/>
      <c r="E46" s="5"/>
      <c r="F46" s="5"/>
      <c r="G46" s="5"/>
      <c r="H46" s="5"/>
      <c r="I46" s="5"/>
      <c r="J46" s="5"/>
    </row>
    <row r="47" spans="2:13" x14ac:dyDescent="0.25">
      <c r="C47" s="5"/>
      <c r="D47" s="59"/>
      <c r="E47" s="5"/>
      <c r="F47" s="57"/>
      <c r="G47" s="5"/>
      <c r="H47" s="5"/>
      <c r="I47" s="5"/>
      <c r="J47" s="5"/>
    </row>
    <row r="48" spans="2:13" x14ac:dyDescent="0.25">
      <c r="C48" s="5"/>
      <c r="D48" s="60"/>
      <c r="E48" s="5"/>
      <c r="F48" s="5"/>
      <c r="G48" s="5"/>
      <c r="H48" s="5"/>
      <c r="I48" s="5"/>
      <c r="J48" s="5"/>
    </row>
    <row r="49" spans="3:10" x14ac:dyDescent="0.25">
      <c r="C49" s="5"/>
      <c r="D49" s="60"/>
      <c r="E49" s="5"/>
      <c r="F49" s="5"/>
      <c r="G49" s="5"/>
      <c r="H49" s="5"/>
      <c r="I49" s="5"/>
      <c r="J49" s="5"/>
    </row>
    <row r="50" spans="3:10" x14ac:dyDescent="0.25">
      <c r="C50" s="5"/>
      <c r="D50" s="60"/>
      <c r="E50" s="5"/>
      <c r="F50" s="5"/>
      <c r="G50" s="5"/>
      <c r="H50" s="5"/>
      <c r="I50" s="5"/>
      <c r="J50" s="5"/>
    </row>
    <row r="51" spans="3:10" x14ac:dyDescent="0.25">
      <c r="C51" s="5"/>
      <c r="D51" s="60"/>
      <c r="E51" s="5"/>
      <c r="F51" s="5"/>
      <c r="G51" s="5"/>
      <c r="H51" s="5"/>
      <c r="I51" s="5"/>
      <c r="J51" s="5"/>
    </row>
    <row r="52" spans="3:10" x14ac:dyDescent="0.25">
      <c r="C52" s="5"/>
      <c r="D52" s="59"/>
      <c r="E52" s="5"/>
      <c r="F52" s="5"/>
      <c r="G52" s="5"/>
      <c r="H52" s="5"/>
      <c r="I52" s="5"/>
      <c r="J52" s="5"/>
    </row>
    <row r="53" spans="3:10" x14ac:dyDescent="0.25">
      <c r="C53" s="5"/>
      <c r="D53" s="60"/>
      <c r="E53" s="5"/>
      <c r="F53" s="5"/>
      <c r="G53" s="5"/>
      <c r="H53" s="5"/>
      <c r="I53" s="5"/>
      <c r="J53" s="5"/>
    </row>
    <row r="54" spans="3:10" x14ac:dyDescent="0.25">
      <c r="C54" s="5"/>
      <c r="D54" s="60"/>
      <c r="E54" s="5"/>
      <c r="F54" s="5"/>
      <c r="G54" s="5"/>
      <c r="H54" s="5"/>
      <c r="I54" s="5"/>
      <c r="J54" s="5"/>
    </row>
    <row r="55" spans="3:10" x14ac:dyDescent="0.25">
      <c r="C55" s="5"/>
      <c r="D55" s="60"/>
      <c r="E55" s="5"/>
      <c r="F55" s="5"/>
      <c r="G55" s="5"/>
      <c r="H55" s="5"/>
      <c r="I55" s="5"/>
      <c r="J55" s="5"/>
    </row>
    <row r="56" spans="3:10" x14ac:dyDescent="0.25">
      <c r="C56" s="5"/>
      <c r="D56" s="60"/>
      <c r="E56" s="5"/>
      <c r="F56" s="5"/>
      <c r="G56" s="5"/>
      <c r="H56" s="5"/>
      <c r="I56" s="5"/>
      <c r="J56" s="5"/>
    </row>
    <row r="57" spans="3:10" x14ac:dyDescent="0.25">
      <c r="C57" s="5"/>
      <c r="D57" s="60"/>
      <c r="E57" s="5"/>
      <c r="F57" s="5"/>
      <c r="G57" s="5"/>
      <c r="H57" s="5"/>
      <c r="I57" s="5"/>
      <c r="J57" s="5"/>
    </row>
    <row r="58" spans="3:10" x14ac:dyDescent="0.25">
      <c r="C58" s="5"/>
      <c r="D58" s="59"/>
      <c r="E58" s="5"/>
      <c r="F58" s="5"/>
      <c r="G58" s="5"/>
      <c r="H58" s="5"/>
      <c r="I58" s="5"/>
      <c r="J58" s="5"/>
    </row>
    <row r="59" spans="3:10" x14ac:dyDescent="0.25">
      <c r="C59" s="5"/>
      <c r="D59" s="60"/>
      <c r="E59" s="5"/>
      <c r="F59" s="5"/>
      <c r="G59" s="5"/>
      <c r="H59" s="5"/>
      <c r="I59" s="5"/>
      <c r="J59" s="5"/>
    </row>
    <row r="60" spans="3:10" x14ac:dyDescent="0.25">
      <c r="C60" s="5"/>
      <c r="D60" s="60"/>
      <c r="E60" s="5"/>
      <c r="F60" s="5"/>
      <c r="G60" s="5"/>
      <c r="H60" s="5"/>
      <c r="I60" s="5"/>
      <c r="J60" s="5"/>
    </row>
    <row r="61" spans="3:10" x14ac:dyDescent="0.25">
      <c r="C61" s="5"/>
      <c r="D61" s="59"/>
      <c r="E61" s="5"/>
      <c r="F61" s="5"/>
      <c r="G61" s="5"/>
      <c r="H61" s="5"/>
      <c r="I61" s="5"/>
      <c r="J61" s="5"/>
    </row>
    <row r="62" spans="3:10" x14ac:dyDescent="0.25">
      <c r="C62" s="5"/>
      <c r="D62" s="60"/>
      <c r="E62" s="5"/>
      <c r="F62" s="5"/>
      <c r="G62" s="5"/>
      <c r="H62" s="5"/>
      <c r="I62" s="5"/>
      <c r="J62" s="5"/>
    </row>
    <row r="63" spans="3:10" x14ac:dyDescent="0.25">
      <c r="C63" s="5"/>
      <c r="D63" s="60"/>
      <c r="E63" s="5"/>
      <c r="F63" s="5"/>
      <c r="G63" s="5"/>
      <c r="H63" s="5"/>
      <c r="I63" s="5"/>
      <c r="J63" s="5"/>
    </row>
    <row r="64" spans="3:10" x14ac:dyDescent="0.25">
      <c r="C64" s="5"/>
      <c r="D64" s="60"/>
      <c r="E64" s="5"/>
      <c r="F64" s="5"/>
      <c r="G64" s="5"/>
      <c r="H64" s="5"/>
      <c r="I64" s="5"/>
      <c r="J64" s="5"/>
    </row>
    <row r="65" spans="3:10" x14ac:dyDescent="0.25">
      <c r="C65" s="5"/>
      <c r="D65" s="60"/>
      <c r="E65" s="5"/>
      <c r="F65" s="5"/>
      <c r="G65" s="5"/>
      <c r="H65" s="5"/>
      <c r="I65" s="5"/>
      <c r="J65" s="5"/>
    </row>
    <row r="66" spans="3:10" x14ac:dyDescent="0.25">
      <c r="C66" s="5"/>
      <c r="D66" s="60"/>
      <c r="E66" s="5"/>
      <c r="F66" s="5"/>
      <c r="G66" s="5"/>
      <c r="H66" s="5"/>
      <c r="I66" s="5"/>
      <c r="J66" s="5"/>
    </row>
    <row r="67" spans="3:10" x14ac:dyDescent="0.25">
      <c r="C67" s="5"/>
      <c r="D67" s="5"/>
      <c r="E67" s="5"/>
      <c r="F67" s="5"/>
      <c r="G67" s="5"/>
      <c r="H67" s="5"/>
      <c r="I67" s="5"/>
      <c r="J67" s="5"/>
    </row>
    <row r="68" spans="3:10" x14ac:dyDescent="0.25">
      <c r="C68" s="5"/>
      <c r="D68" s="5"/>
      <c r="E68" s="5"/>
      <c r="F68" s="5"/>
      <c r="G68" s="5"/>
      <c r="H68" s="5"/>
      <c r="I68" s="5"/>
      <c r="J68" s="5"/>
    </row>
    <row r="69" spans="3:10" x14ac:dyDescent="0.25">
      <c r="C69" s="5"/>
      <c r="D69" s="5"/>
      <c r="E69" s="5"/>
      <c r="F69" s="5"/>
      <c r="G69" s="5"/>
      <c r="H69" s="5"/>
      <c r="I69" s="5"/>
      <c r="J69" s="5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3"/>
  <sheetViews>
    <sheetView zoomScale="120" zoomScaleNormal="120" workbookViewId="0">
      <selection activeCell="D64" sqref="D64"/>
    </sheetView>
  </sheetViews>
  <sheetFormatPr defaultRowHeight="15" x14ac:dyDescent="0.25"/>
  <cols>
    <col min="1" max="1" width="3.28515625" customWidth="1"/>
    <col min="2" max="2" width="12.85546875" customWidth="1"/>
    <col min="3" max="3" width="25.85546875" customWidth="1"/>
    <col min="4" max="4" width="10" customWidth="1"/>
    <col min="5" max="5" width="18.140625" customWidth="1"/>
    <col min="6" max="6" width="13.5703125" customWidth="1"/>
    <col min="7" max="7" width="8" customWidth="1"/>
    <col min="8" max="8" width="13.28515625" bestFit="1" customWidth="1"/>
    <col min="9" max="9" width="13.5703125" customWidth="1"/>
    <col min="10" max="11" width="15" bestFit="1" customWidth="1"/>
    <col min="14" max="14" width="7.85546875" customWidth="1"/>
  </cols>
  <sheetData>
    <row r="2" spans="2:14" x14ac:dyDescent="0.25">
      <c r="B2" s="88" t="s">
        <v>85</v>
      </c>
      <c r="C2" s="88"/>
      <c r="D2" s="88"/>
      <c r="E2" s="88"/>
      <c r="F2" s="88"/>
      <c r="H2" s="68" t="s">
        <v>44</v>
      </c>
      <c r="I2" s="88" t="s">
        <v>84</v>
      </c>
      <c r="J2" s="88"/>
      <c r="K2" s="88"/>
      <c r="L2" s="88"/>
      <c r="M2" s="88"/>
      <c r="N2" s="88"/>
    </row>
    <row r="3" spans="2:14" x14ac:dyDescent="0.25">
      <c r="B3" s="68" t="s">
        <v>48</v>
      </c>
      <c r="C3" s="68" t="s">
        <v>47</v>
      </c>
      <c r="D3" s="68" t="s">
        <v>46</v>
      </c>
      <c r="E3" s="68" t="s">
        <v>45</v>
      </c>
      <c r="F3" s="68" t="s">
        <v>44</v>
      </c>
      <c r="G3" s="75"/>
      <c r="H3" s="74">
        <f>F11+F17+F24+F39+F46+F53+F60+F65+F72</f>
        <v>5126.8149999999996</v>
      </c>
      <c r="I3" s="90">
        <f>H3/600</f>
        <v>8.5446916666666652</v>
      </c>
      <c r="J3" s="90"/>
      <c r="K3" s="90"/>
      <c r="L3" s="90"/>
      <c r="M3" s="90"/>
      <c r="N3" s="90"/>
    </row>
    <row r="4" spans="2:14" x14ac:dyDescent="0.25">
      <c r="B4" s="16">
        <v>1</v>
      </c>
      <c r="C4" s="16" t="s">
        <v>83</v>
      </c>
      <c r="D4" s="16">
        <f>3*3.45</f>
        <v>10.350000000000001</v>
      </c>
      <c r="E4" s="16">
        <v>1</v>
      </c>
      <c r="F4" s="16">
        <f t="shared" ref="F4:F10" si="0">D4*E4</f>
        <v>10.350000000000001</v>
      </c>
      <c r="G4" s="73"/>
      <c r="H4" s="73"/>
      <c r="I4" s="73"/>
      <c r="J4" s="73"/>
      <c r="K4" s="73"/>
      <c r="L4" s="73"/>
      <c r="M4" s="73"/>
    </row>
    <row r="5" spans="2:14" x14ac:dyDescent="0.25">
      <c r="B5" s="27">
        <v>1</v>
      </c>
      <c r="C5" s="27" t="s">
        <v>82</v>
      </c>
      <c r="D5" s="27">
        <f>1.8*4.65</f>
        <v>8.370000000000001</v>
      </c>
      <c r="E5" s="27">
        <v>1</v>
      </c>
      <c r="F5" s="27">
        <f t="shared" si="0"/>
        <v>8.370000000000001</v>
      </c>
      <c r="H5" s="89" t="s">
        <v>81</v>
      </c>
      <c r="I5" s="68" t="s">
        <v>80</v>
      </c>
      <c r="J5" s="68" t="s">
        <v>79</v>
      </c>
    </row>
    <row r="6" spans="2:14" x14ac:dyDescent="0.25">
      <c r="B6" s="16">
        <v>1</v>
      </c>
      <c r="C6" s="16" t="s">
        <v>78</v>
      </c>
      <c r="D6" s="70">
        <f>3.45*4.65</f>
        <v>16.0425</v>
      </c>
      <c r="E6" s="16">
        <v>2</v>
      </c>
      <c r="F6" s="16">
        <f t="shared" si="0"/>
        <v>32.085000000000001</v>
      </c>
      <c r="H6" s="89"/>
      <c r="I6" s="72">
        <f>788*I3</f>
        <v>6733.2170333333324</v>
      </c>
      <c r="J6" s="72">
        <f>I6*13.33*1.22</f>
        <v>109499.61532628666</v>
      </c>
    </row>
    <row r="7" spans="2:14" x14ac:dyDescent="0.25">
      <c r="B7" s="27">
        <v>1</v>
      </c>
      <c r="C7" s="27" t="s">
        <v>77</v>
      </c>
      <c r="D7" s="71">
        <f>5.85*4.65</f>
        <v>27.202500000000001</v>
      </c>
      <c r="E7" s="27">
        <v>2</v>
      </c>
      <c r="F7" s="27">
        <f t="shared" si="0"/>
        <v>54.405000000000001</v>
      </c>
    </row>
    <row r="8" spans="2:14" x14ac:dyDescent="0.25">
      <c r="B8" s="16">
        <v>1</v>
      </c>
      <c r="C8" s="16" t="s">
        <v>76</v>
      </c>
      <c r="D8" s="70">
        <f>5.25*4.65</f>
        <v>24.412500000000001</v>
      </c>
      <c r="E8" s="16">
        <v>2</v>
      </c>
      <c r="F8" s="16">
        <f t="shared" si="0"/>
        <v>48.825000000000003</v>
      </c>
    </row>
    <row r="9" spans="2:14" x14ac:dyDescent="0.25">
      <c r="B9" s="27">
        <v>2</v>
      </c>
      <c r="C9" s="27" t="s">
        <v>75</v>
      </c>
      <c r="D9" s="27">
        <f>1.5*2.45*2</f>
        <v>7.3500000000000005</v>
      </c>
      <c r="E9" s="27">
        <v>4</v>
      </c>
      <c r="F9" s="27">
        <f t="shared" si="0"/>
        <v>29.400000000000002</v>
      </c>
    </row>
    <row r="10" spans="2:14" x14ac:dyDescent="0.25">
      <c r="B10" s="16">
        <v>1</v>
      </c>
      <c r="C10" s="16" t="s">
        <v>53</v>
      </c>
      <c r="D10" s="16">
        <f>7.55*2.4</f>
        <v>18.119999999999997</v>
      </c>
      <c r="E10" s="16">
        <v>2</v>
      </c>
      <c r="F10" s="16">
        <f t="shared" si="0"/>
        <v>36.239999999999995</v>
      </c>
    </row>
    <row r="11" spans="2:14" x14ac:dyDescent="0.25">
      <c r="B11" s="27"/>
      <c r="C11" s="67" t="s">
        <v>32</v>
      </c>
      <c r="D11" s="27"/>
      <c r="E11" s="27"/>
      <c r="F11" s="67">
        <f>SUM(F4:F10)</f>
        <v>219.67500000000001</v>
      </c>
    </row>
    <row r="12" spans="2:14" x14ac:dyDescent="0.25">
      <c r="B12" s="85"/>
      <c r="C12" s="86"/>
      <c r="D12" s="86"/>
      <c r="E12" s="86"/>
      <c r="F12" s="87"/>
    </row>
    <row r="13" spans="2:14" x14ac:dyDescent="0.25">
      <c r="B13" s="88" t="s">
        <v>74</v>
      </c>
      <c r="C13" s="88"/>
      <c r="D13" s="88"/>
      <c r="E13" s="88"/>
      <c r="F13" s="88"/>
    </row>
    <row r="14" spans="2:14" x14ac:dyDescent="0.25">
      <c r="B14" s="68" t="s">
        <v>48</v>
      </c>
      <c r="C14" s="68" t="s">
        <v>47</v>
      </c>
      <c r="D14" s="68" t="s">
        <v>46</v>
      </c>
      <c r="E14" s="68" t="s">
        <v>45</v>
      </c>
      <c r="F14" s="68" t="s">
        <v>44</v>
      </c>
    </row>
    <row r="15" spans="2:14" x14ac:dyDescent="0.25">
      <c r="B15" s="27">
        <v>1</v>
      </c>
      <c r="C15" s="27" t="s">
        <v>73</v>
      </c>
      <c r="D15" s="27">
        <v>83.58</v>
      </c>
      <c r="E15" s="27">
        <v>1</v>
      </c>
      <c r="F15" s="27">
        <f>D15*E15</f>
        <v>83.58</v>
      </c>
    </row>
    <row r="16" spans="2:14" x14ac:dyDescent="0.25">
      <c r="B16" s="16">
        <v>1</v>
      </c>
      <c r="C16" s="16" t="s">
        <v>72</v>
      </c>
      <c r="D16" s="16">
        <v>67.709999999999994</v>
      </c>
      <c r="E16" s="16">
        <v>2</v>
      </c>
      <c r="F16" s="16">
        <f>D16*E16</f>
        <v>135.41999999999999</v>
      </c>
    </row>
    <row r="17" spans="2:6" x14ac:dyDescent="0.25">
      <c r="B17" s="27"/>
      <c r="C17" s="67" t="s">
        <v>32</v>
      </c>
      <c r="D17" s="27"/>
      <c r="E17" s="27"/>
      <c r="F17" s="67">
        <f>SUM(F15:F16)</f>
        <v>219</v>
      </c>
    </row>
    <row r="18" spans="2:6" x14ac:dyDescent="0.25">
      <c r="B18" s="85"/>
      <c r="C18" s="86"/>
      <c r="D18" s="86"/>
      <c r="E18" s="86"/>
      <c r="F18" s="87"/>
    </row>
    <row r="19" spans="2:6" x14ac:dyDescent="0.25">
      <c r="B19" s="88" t="s">
        <v>71</v>
      </c>
      <c r="C19" s="88"/>
      <c r="D19" s="88"/>
      <c r="E19" s="88"/>
      <c r="F19" s="88"/>
    </row>
    <row r="20" spans="2:6" x14ac:dyDescent="0.25">
      <c r="B20" s="68" t="s">
        <v>48</v>
      </c>
      <c r="C20" s="68" t="s">
        <v>47</v>
      </c>
      <c r="D20" s="68" t="s">
        <v>46</v>
      </c>
      <c r="E20" s="68" t="s">
        <v>45</v>
      </c>
      <c r="F20" s="68" t="s">
        <v>44</v>
      </c>
    </row>
    <row r="21" spans="2:6" x14ac:dyDescent="0.25">
      <c r="B21" s="16">
        <v>1</v>
      </c>
      <c r="C21" s="16" t="s">
        <v>70</v>
      </c>
      <c r="D21" s="16">
        <v>50.3</v>
      </c>
      <c r="E21" s="16">
        <v>2</v>
      </c>
      <c r="F21" s="16">
        <f>D21*E21</f>
        <v>100.6</v>
      </c>
    </row>
    <row r="22" spans="2:6" x14ac:dyDescent="0.25">
      <c r="B22" s="27">
        <v>1</v>
      </c>
      <c r="C22" s="27" t="s">
        <v>69</v>
      </c>
      <c r="D22" s="27">
        <v>67.94</v>
      </c>
      <c r="E22" s="27">
        <v>2</v>
      </c>
      <c r="F22" s="27">
        <f>D22*E22</f>
        <v>135.88</v>
      </c>
    </row>
    <row r="23" spans="2:6" x14ac:dyDescent="0.25">
      <c r="B23" s="16">
        <v>1</v>
      </c>
      <c r="C23" s="16" t="s">
        <v>68</v>
      </c>
      <c r="D23" s="16">
        <v>32.65</v>
      </c>
      <c r="E23" s="16">
        <v>1</v>
      </c>
      <c r="F23" s="16">
        <f>D23*E23</f>
        <v>32.65</v>
      </c>
    </row>
    <row r="24" spans="2:6" x14ac:dyDescent="0.25">
      <c r="B24" s="27"/>
      <c r="C24" s="67" t="s">
        <v>32</v>
      </c>
      <c r="D24" s="27"/>
      <c r="E24" s="27"/>
      <c r="F24" s="67">
        <f>SUM(F21:F23)</f>
        <v>269.13</v>
      </c>
    </row>
    <row r="25" spans="2:6" x14ac:dyDescent="0.25">
      <c r="B25" s="85"/>
      <c r="C25" s="86"/>
      <c r="D25" s="86"/>
      <c r="E25" s="86"/>
      <c r="F25" s="87"/>
    </row>
    <row r="26" spans="2:6" x14ac:dyDescent="0.25">
      <c r="B26" s="88" t="s">
        <v>67</v>
      </c>
      <c r="C26" s="88"/>
      <c r="D26" s="88"/>
      <c r="E26" s="88"/>
      <c r="F26" s="88"/>
    </row>
    <row r="27" spans="2:6" x14ac:dyDescent="0.25">
      <c r="B27" s="68" t="s">
        <v>48</v>
      </c>
      <c r="C27" s="68" t="s">
        <v>47</v>
      </c>
      <c r="D27" s="68" t="s">
        <v>46</v>
      </c>
      <c r="E27" s="68" t="s">
        <v>45</v>
      </c>
      <c r="F27" s="68" t="s">
        <v>44</v>
      </c>
    </row>
    <row r="28" spans="2:6" x14ac:dyDescent="0.25">
      <c r="B28" s="16">
        <v>1</v>
      </c>
      <c r="C28" s="16" t="s">
        <v>66</v>
      </c>
      <c r="D28" s="16">
        <v>224.56</v>
      </c>
      <c r="E28" s="16">
        <v>2</v>
      </c>
      <c r="F28" s="16">
        <f t="shared" ref="F28:F38" si="1">D28*E28</f>
        <v>449.12</v>
      </c>
    </row>
    <row r="29" spans="2:6" x14ac:dyDescent="0.25">
      <c r="B29" s="27">
        <v>1</v>
      </c>
      <c r="C29" s="27" t="s">
        <v>65</v>
      </c>
      <c r="D29" s="27">
        <v>9.48</v>
      </c>
      <c r="E29" s="27">
        <v>1</v>
      </c>
      <c r="F29" s="27">
        <f t="shared" si="1"/>
        <v>9.48</v>
      </c>
    </row>
    <row r="30" spans="2:6" x14ac:dyDescent="0.25">
      <c r="B30" s="16">
        <v>1</v>
      </c>
      <c r="C30" s="16" t="s">
        <v>64</v>
      </c>
      <c r="D30" s="16">
        <v>4.09</v>
      </c>
      <c r="E30" s="16">
        <v>2</v>
      </c>
      <c r="F30" s="16">
        <f t="shared" si="1"/>
        <v>8.18</v>
      </c>
    </row>
    <row r="31" spans="2:6" x14ac:dyDescent="0.25">
      <c r="B31" s="27">
        <v>1</v>
      </c>
      <c r="C31" s="27" t="s">
        <v>63</v>
      </c>
      <c r="D31" s="27">
        <v>1.8</v>
      </c>
      <c r="E31" s="27">
        <v>2</v>
      </c>
      <c r="F31" s="27">
        <f t="shared" si="1"/>
        <v>3.6</v>
      </c>
    </row>
    <row r="32" spans="2:6" x14ac:dyDescent="0.25">
      <c r="B32" s="16">
        <v>1</v>
      </c>
      <c r="C32" s="16" t="s">
        <v>62</v>
      </c>
      <c r="D32" s="16">
        <v>30.7</v>
      </c>
      <c r="E32" s="16">
        <v>2</v>
      </c>
      <c r="F32" s="16">
        <f t="shared" si="1"/>
        <v>61.4</v>
      </c>
    </row>
    <row r="33" spans="2:6" x14ac:dyDescent="0.25">
      <c r="B33" s="27">
        <v>1</v>
      </c>
      <c r="C33" s="27" t="s">
        <v>61</v>
      </c>
      <c r="D33" s="27">
        <v>6.74</v>
      </c>
      <c r="E33" s="27">
        <v>2</v>
      </c>
      <c r="F33" s="27">
        <f t="shared" si="1"/>
        <v>13.48</v>
      </c>
    </row>
    <row r="34" spans="2:6" x14ac:dyDescent="0.25">
      <c r="B34" s="16">
        <v>1</v>
      </c>
      <c r="C34" s="16" t="s">
        <v>53</v>
      </c>
      <c r="D34" s="16">
        <v>1.46</v>
      </c>
      <c r="E34" s="16">
        <v>2</v>
      </c>
      <c r="F34" s="16">
        <f t="shared" si="1"/>
        <v>2.92</v>
      </c>
    </row>
    <row r="35" spans="2:6" x14ac:dyDescent="0.25">
      <c r="B35" s="27">
        <v>1</v>
      </c>
      <c r="C35" s="27" t="s">
        <v>60</v>
      </c>
      <c r="D35" s="27">
        <v>1.99</v>
      </c>
      <c r="E35" s="27">
        <v>1</v>
      </c>
      <c r="F35" s="27">
        <f t="shared" si="1"/>
        <v>1.99</v>
      </c>
    </row>
    <row r="36" spans="2:6" x14ac:dyDescent="0.25">
      <c r="B36" s="16">
        <v>1</v>
      </c>
      <c r="C36" s="16" t="s">
        <v>59</v>
      </c>
      <c r="D36" s="16">
        <v>2</v>
      </c>
      <c r="E36" s="16">
        <v>1</v>
      </c>
      <c r="F36" s="16">
        <f t="shared" si="1"/>
        <v>2</v>
      </c>
    </row>
    <row r="37" spans="2:6" x14ac:dyDescent="0.25">
      <c r="B37" s="27">
        <v>1</v>
      </c>
      <c r="C37" s="27" t="s">
        <v>58</v>
      </c>
      <c r="D37" s="27">
        <v>1.71</v>
      </c>
      <c r="E37" s="27">
        <v>2</v>
      </c>
      <c r="F37" s="27">
        <f t="shared" si="1"/>
        <v>3.42</v>
      </c>
    </row>
    <row r="38" spans="2:6" x14ac:dyDescent="0.25">
      <c r="B38" s="16">
        <v>1</v>
      </c>
      <c r="C38" s="16" t="s">
        <v>52</v>
      </c>
      <c r="D38" s="16">
        <v>1.6</v>
      </c>
      <c r="E38" s="16">
        <v>4</v>
      </c>
      <c r="F38" s="16">
        <f t="shared" si="1"/>
        <v>6.4</v>
      </c>
    </row>
    <row r="39" spans="2:6" x14ac:dyDescent="0.25">
      <c r="B39" s="27"/>
      <c r="C39" s="67" t="s">
        <v>32</v>
      </c>
      <c r="D39" s="27"/>
      <c r="E39" s="27"/>
      <c r="F39" s="67">
        <f>SUM(F28:F38)</f>
        <v>561.99</v>
      </c>
    </row>
    <row r="40" spans="2:6" x14ac:dyDescent="0.25">
      <c r="B40" s="85"/>
      <c r="C40" s="86"/>
      <c r="D40" s="86"/>
      <c r="E40" s="86"/>
      <c r="F40" s="87"/>
    </row>
    <row r="41" spans="2:6" x14ac:dyDescent="0.25">
      <c r="B41" s="88" t="s">
        <v>57</v>
      </c>
      <c r="C41" s="88"/>
      <c r="D41" s="88"/>
      <c r="E41" s="88"/>
      <c r="F41" s="88"/>
    </row>
    <row r="42" spans="2:6" x14ac:dyDescent="0.25">
      <c r="B42" s="68" t="s">
        <v>48</v>
      </c>
      <c r="C42" s="68" t="s">
        <v>47</v>
      </c>
      <c r="D42" s="68" t="s">
        <v>46</v>
      </c>
      <c r="E42" s="68" t="s">
        <v>45</v>
      </c>
      <c r="F42" s="68" t="s">
        <v>44</v>
      </c>
    </row>
    <row r="43" spans="2:6" x14ac:dyDescent="0.25">
      <c r="B43" s="16">
        <v>4</v>
      </c>
      <c r="C43" s="16" t="s">
        <v>54</v>
      </c>
      <c r="D43" s="16">
        <f>51.82*B43</f>
        <v>207.28</v>
      </c>
      <c r="E43" s="16">
        <v>2</v>
      </c>
      <c r="F43" s="16">
        <f>D43*E43</f>
        <v>414.56</v>
      </c>
    </row>
    <row r="44" spans="2:6" x14ac:dyDescent="0.25">
      <c r="B44" s="27">
        <v>1</v>
      </c>
      <c r="C44" s="27" t="s">
        <v>53</v>
      </c>
      <c r="D44" s="27">
        <v>118.07</v>
      </c>
      <c r="E44" s="27">
        <v>2</v>
      </c>
      <c r="F44" s="27">
        <f>D44*E44</f>
        <v>236.14</v>
      </c>
    </row>
    <row r="45" spans="2:6" x14ac:dyDescent="0.25">
      <c r="B45" s="16">
        <v>2</v>
      </c>
      <c r="C45" s="16" t="s">
        <v>52</v>
      </c>
      <c r="D45" s="16">
        <f>16.74*B45</f>
        <v>33.479999999999997</v>
      </c>
      <c r="E45" s="16">
        <v>4</v>
      </c>
      <c r="F45" s="16">
        <f>D45*E45</f>
        <v>133.91999999999999</v>
      </c>
    </row>
    <row r="46" spans="2:6" x14ac:dyDescent="0.25">
      <c r="B46" s="27"/>
      <c r="C46" s="67" t="s">
        <v>32</v>
      </c>
      <c r="D46" s="27"/>
      <c r="E46" s="27"/>
      <c r="F46" s="67">
        <f>SUM(F43:F45)</f>
        <v>784.62</v>
      </c>
    </row>
    <row r="47" spans="2:6" x14ac:dyDescent="0.25">
      <c r="B47" s="85"/>
      <c r="C47" s="86"/>
      <c r="D47" s="86"/>
      <c r="E47" s="86"/>
      <c r="F47" s="87"/>
    </row>
    <row r="48" spans="2:6" x14ac:dyDescent="0.25">
      <c r="B48" s="88" t="s">
        <v>56</v>
      </c>
      <c r="C48" s="88"/>
      <c r="D48" s="88"/>
      <c r="E48" s="88"/>
      <c r="F48" s="88"/>
    </row>
    <row r="49" spans="2:6" x14ac:dyDescent="0.25">
      <c r="B49" s="68" t="s">
        <v>48</v>
      </c>
      <c r="C49" s="68" t="s">
        <v>47</v>
      </c>
      <c r="D49" s="68" t="s">
        <v>46</v>
      </c>
      <c r="E49" s="68" t="s">
        <v>45</v>
      </c>
      <c r="F49" s="68" t="s">
        <v>44</v>
      </c>
    </row>
    <row r="50" spans="2:6" x14ac:dyDescent="0.25">
      <c r="B50" s="16">
        <v>4</v>
      </c>
      <c r="C50" s="16" t="s">
        <v>54</v>
      </c>
      <c r="D50" s="16">
        <f>51.82*B50</f>
        <v>207.28</v>
      </c>
      <c r="E50" s="16">
        <v>2</v>
      </c>
      <c r="F50" s="16">
        <f>D50*E50</f>
        <v>414.56</v>
      </c>
    </row>
    <row r="51" spans="2:6" x14ac:dyDescent="0.25">
      <c r="B51" s="27">
        <v>1</v>
      </c>
      <c r="C51" s="27" t="s">
        <v>53</v>
      </c>
      <c r="D51" s="27">
        <v>118.07</v>
      </c>
      <c r="E51" s="27">
        <v>2</v>
      </c>
      <c r="F51" s="27">
        <f>D51*E51</f>
        <v>236.14</v>
      </c>
    </row>
    <row r="52" spans="2:6" x14ac:dyDescent="0.25">
      <c r="B52" s="16">
        <v>2</v>
      </c>
      <c r="C52" s="16" t="s">
        <v>52</v>
      </c>
      <c r="D52" s="16">
        <f>16.74*B52</f>
        <v>33.479999999999997</v>
      </c>
      <c r="E52" s="16">
        <v>4</v>
      </c>
      <c r="F52" s="16">
        <f>D52*E52</f>
        <v>133.91999999999999</v>
      </c>
    </row>
    <row r="53" spans="2:6" x14ac:dyDescent="0.25">
      <c r="B53" s="27"/>
      <c r="C53" s="67" t="s">
        <v>32</v>
      </c>
      <c r="D53" s="27"/>
      <c r="E53" s="27"/>
      <c r="F53" s="67">
        <f>SUM(F50:F52)</f>
        <v>784.62</v>
      </c>
    </row>
    <row r="54" spans="2:6" x14ac:dyDescent="0.25">
      <c r="B54" s="85"/>
      <c r="C54" s="86"/>
      <c r="D54" s="86"/>
      <c r="E54" s="86"/>
      <c r="F54" s="87"/>
    </row>
    <row r="55" spans="2:6" x14ac:dyDescent="0.25">
      <c r="B55" s="88" t="s">
        <v>55</v>
      </c>
      <c r="C55" s="88"/>
      <c r="D55" s="88"/>
      <c r="E55" s="88"/>
      <c r="F55" s="88"/>
    </row>
    <row r="56" spans="2:6" x14ac:dyDescent="0.25">
      <c r="B56" s="68" t="s">
        <v>48</v>
      </c>
      <c r="C56" s="68" t="s">
        <v>47</v>
      </c>
      <c r="D56" s="68" t="s">
        <v>46</v>
      </c>
      <c r="E56" s="68" t="s">
        <v>45</v>
      </c>
      <c r="F56" s="68" t="s">
        <v>44</v>
      </c>
    </row>
    <row r="57" spans="2:6" x14ac:dyDescent="0.25">
      <c r="B57" s="69">
        <v>4</v>
      </c>
      <c r="C57" s="69" t="s">
        <v>54</v>
      </c>
      <c r="D57" s="69">
        <f>51.82*B57</f>
        <v>207.28</v>
      </c>
      <c r="E57" s="69">
        <v>2</v>
      </c>
      <c r="F57" s="69">
        <f>D57*E57</f>
        <v>414.56</v>
      </c>
    </row>
    <row r="58" spans="2:6" x14ac:dyDescent="0.25">
      <c r="B58" s="27">
        <v>1</v>
      </c>
      <c r="C58" s="27" t="s">
        <v>53</v>
      </c>
      <c r="D58" s="27">
        <v>118.07</v>
      </c>
      <c r="E58" s="27">
        <v>2</v>
      </c>
      <c r="F58" s="27">
        <f>D58*E58</f>
        <v>236.14</v>
      </c>
    </row>
    <row r="59" spans="2:6" x14ac:dyDescent="0.25">
      <c r="B59" s="69">
        <v>2</v>
      </c>
      <c r="C59" s="69" t="s">
        <v>52</v>
      </c>
      <c r="D59" s="69">
        <f>16.74*B59</f>
        <v>33.479999999999997</v>
      </c>
      <c r="E59" s="69">
        <v>4</v>
      </c>
      <c r="F59" s="69">
        <f>D59*E59</f>
        <v>133.91999999999999</v>
      </c>
    </row>
    <row r="60" spans="2:6" x14ac:dyDescent="0.25">
      <c r="B60" s="27"/>
      <c r="C60" s="67" t="s">
        <v>32</v>
      </c>
      <c r="D60" s="27"/>
      <c r="E60" s="27"/>
      <c r="F60" s="67">
        <f>SUM(F57:F59)</f>
        <v>784.62</v>
      </c>
    </row>
    <row r="61" spans="2:6" x14ac:dyDescent="0.25">
      <c r="B61" s="85"/>
      <c r="C61" s="86"/>
      <c r="D61" s="86"/>
      <c r="E61" s="86"/>
      <c r="F61" s="87"/>
    </row>
    <row r="62" spans="2:6" x14ac:dyDescent="0.25">
      <c r="B62" s="88" t="s">
        <v>51</v>
      </c>
      <c r="C62" s="88"/>
      <c r="D62" s="88"/>
      <c r="E62" s="88"/>
      <c r="F62" s="88"/>
    </row>
    <row r="63" spans="2:6" x14ac:dyDescent="0.25">
      <c r="B63" s="68" t="s">
        <v>48</v>
      </c>
      <c r="C63" s="68" t="s">
        <v>47</v>
      </c>
      <c r="D63" s="68" t="s">
        <v>46</v>
      </c>
      <c r="E63" s="68" t="s">
        <v>45</v>
      </c>
      <c r="F63" s="68" t="s">
        <v>44</v>
      </c>
    </row>
    <row r="64" spans="2:6" x14ac:dyDescent="0.25">
      <c r="B64" s="16">
        <v>1</v>
      </c>
      <c r="C64" s="16" t="s">
        <v>50</v>
      </c>
      <c r="D64" s="16">
        <v>907</v>
      </c>
      <c r="E64" s="16">
        <v>1</v>
      </c>
      <c r="F64" s="16">
        <f>D64*E64</f>
        <v>907</v>
      </c>
    </row>
    <row r="65" spans="2:6" x14ac:dyDescent="0.25">
      <c r="B65" s="27"/>
      <c r="C65" s="67" t="s">
        <v>32</v>
      </c>
      <c r="D65" s="27"/>
      <c r="E65" s="27"/>
      <c r="F65" s="67">
        <f>SUM(F64)</f>
        <v>907</v>
      </c>
    </row>
    <row r="66" spans="2:6" x14ac:dyDescent="0.25">
      <c r="B66" s="85"/>
      <c r="C66" s="86"/>
      <c r="D66" s="86"/>
      <c r="E66" s="86"/>
      <c r="F66" s="87"/>
    </row>
    <row r="67" spans="2:6" x14ac:dyDescent="0.25">
      <c r="B67" s="88" t="s">
        <v>49</v>
      </c>
      <c r="C67" s="88"/>
      <c r="D67" s="88"/>
      <c r="E67" s="88"/>
      <c r="F67" s="88"/>
    </row>
    <row r="68" spans="2:6" x14ac:dyDescent="0.25">
      <c r="B68" s="68" t="s">
        <v>48</v>
      </c>
      <c r="C68" s="68" t="s">
        <v>47</v>
      </c>
      <c r="D68" s="68" t="s">
        <v>46</v>
      </c>
      <c r="E68" s="68" t="s">
        <v>45</v>
      </c>
      <c r="F68" s="68" t="s">
        <v>44</v>
      </c>
    </row>
    <row r="69" spans="2:6" x14ac:dyDescent="0.25">
      <c r="B69" s="16">
        <v>1</v>
      </c>
      <c r="C69" s="16" t="s">
        <v>43</v>
      </c>
      <c r="D69" s="16">
        <v>103.68</v>
      </c>
      <c r="E69" s="16">
        <v>2</v>
      </c>
      <c r="F69" s="16">
        <f>D69*E69</f>
        <v>207.36</v>
      </c>
    </row>
    <row r="70" spans="2:6" x14ac:dyDescent="0.25">
      <c r="B70" s="27">
        <v>1</v>
      </c>
      <c r="C70" s="27" t="s">
        <v>42</v>
      </c>
      <c r="D70" s="27">
        <v>155.52000000000001</v>
      </c>
      <c r="E70" s="27">
        <v>2</v>
      </c>
      <c r="F70" s="27">
        <f>D70*E70</f>
        <v>311.04000000000002</v>
      </c>
    </row>
    <row r="71" spans="2:6" x14ac:dyDescent="0.25">
      <c r="B71" s="16">
        <v>1</v>
      </c>
      <c r="C71" s="16" t="s">
        <v>41</v>
      </c>
      <c r="D71" s="16">
        <v>38.880000000000003</v>
      </c>
      <c r="E71" s="16">
        <v>2</v>
      </c>
      <c r="F71" s="16">
        <f>D71*E71</f>
        <v>77.760000000000005</v>
      </c>
    </row>
    <row r="72" spans="2:6" x14ac:dyDescent="0.25">
      <c r="B72" s="27"/>
      <c r="C72" s="67" t="s">
        <v>32</v>
      </c>
      <c r="D72" s="27"/>
      <c r="E72" s="27"/>
      <c r="F72" s="67">
        <f>SUM(F69:F71)</f>
        <v>596.16000000000008</v>
      </c>
    </row>
    <row r="73" spans="2:6" x14ac:dyDescent="0.25">
      <c r="B73" s="85"/>
      <c r="C73" s="86"/>
      <c r="D73" s="86"/>
      <c r="E73" s="86"/>
      <c r="F73" s="87"/>
    </row>
  </sheetData>
  <mergeCells count="21">
    <mergeCell ref="B25:F25"/>
    <mergeCell ref="B47:F47"/>
    <mergeCell ref="B54:F54"/>
    <mergeCell ref="B61:F61"/>
    <mergeCell ref="B66:F66"/>
    <mergeCell ref="B73:F73"/>
    <mergeCell ref="I2:N2"/>
    <mergeCell ref="H5:H6"/>
    <mergeCell ref="B26:F26"/>
    <mergeCell ref="B41:F41"/>
    <mergeCell ref="B48:F48"/>
    <mergeCell ref="B55:F55"/>
    <mergeCell ref="B62:F62"/>
    <mergeCell ref="B67:F67"/>
    <mergeCell ref="B40:F40"/>
    <mergeCell ref="I3:N3"/>
    <mergeCell ref="B2:F2"/>
    <mergeCell ref="B13:F13"/>
    <mergeCell ref="B19:F19"/>
    <mergeCell ref="B12:F12"/>
    <mergeCell ref="B18:F1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0"/>
  <sheetViews>
    <sheetView zoomScale="120" zoomScaleNormal="120" workbookViewId="0">
      <selection activeCell="H3" sqref="H3"/>
    </sheetView>
  </sheetViews>
  <sheetFormatPr defaultRowHeight="15" x14ac:dyDescent="0.25"/>
  <cols>
    <col min="1" max="1" width="6" customWidth="1"/>
    <col min="2" max="2" width="13.5703125" customWidth="1"/>
    <col min="3" max="3" width="33.42578125" customWidth="1"/>
    <col min="5" max="5" width="20.85546875" customWidth="1"/>
    <col min="6" max="6" width="15.7109375" customWidth="1"/>
    <col min="7" max="7" width="8" customWidth="1"/>
    <col min="8" max="8" width="17.28515625" customWidth="1"/>
    <col min="9" max="9" width="12.7109375" bestFit="1" customWidth="1"/>
    <col min="10" max="10" width="13.85546875" bestFit="1" customWidth="1"/>
  </cols>
  <sheetData>
    <row r="2" spans="2:13" x14ac:dyDescent="0.25">
      <c r="B2" s="88" t="s">
        <v>123</v>
      </c>
      <c r="C2" s="88"/>
      <c r="D2" s="88"/>
      <c r="E2" s="88"/>
      <c r="F2" s="88"/>
      <c r="H2" s="68" t="s">
        <v>44</v>
      </c>
      <c r="I2" s="91" t="s">
        <v>84</v>
      </c>
      <c r="J2" s="92"/>
      <c r="K2" s="92"/>
      <c r="L2" s="92"/>
      <c r="M2" s="93"/>
    </row>
    <row r="3" spans="2:13" x14ac:dyDescent="0.25">
      <c r="B3" s="68" t="s">
        <v>90</v>
      </c>
      <c r="C3" s="68" t="s">
        <v>89</v>
      </c>
      <c r="D3" s="68" t="s">
        <v>46</v>
      </c>
      <c r="E3" s="68" t="s">
        <v>45</v>
      </c>
      <c r="F3" s="68" t="s">
        <v>44</v>
      </c>
      <c r="H3" s="82">
        <f>F11+F22+F28+F33+F39</f>
        <v>1598.3825000000002</v>
      </c>
      <c r="I3" s="90">
        <f>H3/600</f>
        <v>2.6639708333333334</v>
      </c>
      <c r="J3" s="90"/>
      <c r="K3" s="90"/>
      <c r="L3" s="90"/>
      <c r="M3" s="90"/>
    </row>
    <row r="4" spans="2:13" x14ac:dyDescent="0.25">
      <c r="B4" s="16">
        <v>1</v>
      </c>
      <c r="C4" s="16" t="s">
        <v>82</v>
      </c>
      <c r="D4" s="70">
        <f>4.45*1.65</f>
        <v>7.3425000000000002</v>
      </c>
      <c r="E4" s="16">
        <v>1</v>
      </c>
      <c r="F4" s="70">
        <f t="shared" ref="F4:F10" si="0">B4*D4*E4</f>
        <v>7.3425000000000002</v>
      </c>
    </row>
    <row r="5" spans="2:13" x14ac:dyDescent="0.25">
      <c r="B5" s="27">
        <v>1</v>
      </c>
      <c r="C5" s="27" t="s">
        <v>134</v>
      </c>
      <c r="D5" s="27">
        <v>5.43</v>
      </c>
      <c r="E5" s="27">
        <v>1</v>
      </c>
      <c r="F5" s="71">
        <f t="shared" si="0"/>
        <v>5.43</v>
      </c>
      <c r="H5" s="89" t="s">
        <v>81</v>
      </c>
      <c r="I5" s="68" t="s">
        <v>80</v>
      </c>
      <c r="J5" s="68" t="s">
        <v>79</v>
      </c>
    </row>
    <row r="6" spans="2:13" x14ac:dyDescent="0.25">
      <c r="B6" s="16">
        <v>1</v>
      </c>
      <c r="C6" s="16" t="s">
        <v>133</v>
      </c>
      <c r="D6" s="16">
        <v>13.67</v>
      </c>
      <c r="E6" s="16">
        <v>1</v>
      </c>
      <c r="F6" s="70">
        <f t="shared" si="0"/>
        <v>13.67</v>
      </c>
      <c r="H6" s="89"/>
      <c r="I6" s="72">
        <f>788*I3</f>
        <v>2099.2090166666667</v>
      </c>
      <c r="J6" s="72">
        <f>I6*13.33*1.22</f>
        <v>34138.596554443335</v>
      </c>
    </row>
    <row r="7" spans="2:13" x14ac:dyDescent="0.25">
      <c r="B7" s="27">
        <v>1</v>
      </c>
      <c r="C7" s="27" t="s">
        <v>117</v>
      </c>
      <c r="D7" s="27">
        <v>19.59</v>
      </c>
      <c r="E7" s="27">
        <v>1</v>
      </c>
      <c r="F7" s="71">
        <f t="shared" si="0"/>
        <v>19.59</v>
      </c>
    </row>
    <row r="8" spans="2:13" x14ac:dyDescent="0.25">
      <c r="B8" s="16">
        <v>1</v>
      </c>
      <c r="C8" s="16" t="s">
        <v>132</v>
      </c>
      <c r="D8" s="70">
        <f xml:space="preserve"> 4.45*3.25</f>
        <v>14.4625</v>
      </c>
      <c r="E8" s="16">
        <v>2</v>
      </c>
      <c r="F8" s="70">
        <f t="shared" si="0"/>
        <v>28.925000000000001</v>
      </c>
    </row>
    <row r="9" spans="2:13" x14ac:dyDescent="0.25">
      <c r="B9" s="27">
        <v>2</v>
      </c>
      <c r="C9" s="27" t="s">
        <v>131</v>
      </c>
      <c r="D9" s="71">
        <f>1.65*1.45</f>
        <v>2.3924999999999996</v>
      </c>
      <c r="E9" s="27">
        <v>4</v>
      </c>
      <c r="F9" s="71">
        <f t="shared" si="0"/>
        <v>19.139999999999997</v>
      </c>
    </row>
    <row r="10" spans="2:13" x14ac:dyDescent="0.25">
      <c r="B10" s="16">
        <v>1</v>
      </c>
      <c r="C10" s="16" t="s">
        <v>53</v>
      </c>
      <c r="D10" s="16">
        <v>24.25</v>
      </c>
      <c r="E10" s="16">
        <v>2</v>
      </c>
      <c r="F10" s="70">
        <f t="shared" si="0"/>
        <v>48.5</v>
      </c>
    </row>
    <row r="11" spans="2:13" x14ac:dyDescent="0.25">
      <c r="B11" s="27"/>
      <c r="C11" s="67" t="s">
        <v>32</v>
      </c>
      <c r="D11" s="67"/>
      <c r="E11" s="67"/>
      <c r="F11" s="83">
        <f>SUM(F4:F10)</f>
        <v>142.5975</v>
      </c>
    </row>
    <row r="12" spans="2:13" x14ac:dyDescent="0.25">
      <c r="B12" s="85"/>
      <c r="C12" s="86"/>
      <c r="D12" s="86"/>
      <c r="E12" s="86"/>
      <c r="F12" s="87"/>
    </row>
    <row r="13" spans="2:13" x14ac:dyDescent="0.25">
      <c r="B13" s="88" t="s">
        <v>130</v>
      </c>
      <c r="C13" s="88"/>
      <c r="D13" s="88"/>
      <c r="E13" s="88"/>
      <c r="F13" s="88"/>
    </row>
    <row r="14" spans="2:13" x14ac:dyDescent="0.25">
      <c r="B14" s="68" t="s">
        <v>48</v>
      </c>
      <c r="C14" s="68" t="s">
        <v>121</v>
      </c>
      <c r="D14" s="68" t="s">
        <v>120</v>
      </c>
      <c r="E14" s="68" t="s">
        <v>45</v>
      </c>
      <c r="F14" s="68" t="s">
        <v>44</v>
      </c>
    </row>
    <row r="15" spans="2:13" x14ac:dyDescent="0.25">
      <c r="B15" s="16">
        <v>1</v>
      </c>
      <c r="C15" s="16" t="s">
        <v>129</v>
      </c>
      <c r="D15" s="16">
        <f xml:space="preserve"> 5.05*2</f>
        <v>10.1</v>
      </c>
      <c r="E15" s="16">
        <v>2</v>
      </c>
      <c r="F15" s="70">
        <f t="shared" ref="F15:F21" si="1">B15*D15*E15</f>
        <v>20.2</v>
      </c>
    </row>
    <row r="16" spans="2:13" x14ac:dyDescent="0.25">
      <c r="B16" s="27">
        <v>1</v>
      </c>
      <c r="C16" s="27" t="s">
        <v>62</v>
      </c>
      <c r="D16" s="71">
        <f>4.45*3.65</f>
        <v>16.2425</v>
      </c>
      <c r="E16" s="27">
        <v>2</v>
      </c>
      <c r="F16" s="71">
        <f t="shared" si="1"/>
        <v>32.484999999999999</v>
      </c>
    </row>
    <row r="17" spans="2:6" x14ac:dyDescent="0.25">
      <c r="B17" s="16">
        <v>1</v>
      </c>
      <c r="C17" s="16" t="s">
        <v>91</v>
      </c>
      <c r="D17" s="16">
        <f>2.3*1.2</f>
        <v>2.76</v>
      </c>
      <c r="E17" s="16">
        <v>1</v>
      </c>
      <c r="F17" s="70">
        <f t="shared" si="1"/>
        <v>2.76</v>
      </c>
    </row>
    <row r="18" spans="2:6" x14ac:dyDescent="0.25">
      <c r="B18" s="27">
        <v>1</v>
      </c>
      <c r="C18" s="27" t="s">
        <v>65</v>
      </c>
      <c r="D18" s="71">
        <f>2.3*2.05</f>
        <v>4.714999999999999</v>
      </c>
      <c r="E18" s="27">
        <v>1</v>
      </c>
      <c r="F18" s="71">
        <f t="shared" si="1"/>
        <v>4.714999999999999</v>
      </c>
    </row>
    <row r="19" spans="2:6" x14ac:dyDescent="0.25">
      <c r="B19" s="16">
        <v>2</v>
      </c>
      <c r="C19" s="16" t="s">
        <v>128</v>
      </c>
      <c r="D19" s="70">
        <f>4.45*3.15</f>
        <v>14.0175</v>
      </c>
      <c r="E19" s="16">
        <v>4</v>
      </c>
      <c r="F19" s="70">
        <f t="shared" si="1"/>
        <v>112.14</v>
      </c>
    </row>
    <row r="20" spans="2:6" x14ac:dyDescent="0.25">
      <c r="B20" s="27">
        <v>1</v>
      </c>
      <c r="C20" s="27" t="s">
        <v>127</v>
      </c>
      <c r="D20" s="27">
        <f>2.3*1.5</f>
        <v>3.4499999999999997</v>
      </c>
      <c r="E20" s="27">
        <v>4</v>
      </c>
      <c r="F20" s="71">
        <f t="shared" si="1"/>
        <v>13.799999999999999</v>
      </c>
    </row>
    <row r="21" spans="2:6" x14ac:dyDescent="0.25">
      <c r="B21" s="16">
        <v>1</v>
      </c>
      <c r="C21" s="16" t="s">
        <v>53</v>
      </c>
      <c r="D21" s="70">
        <f>15.75 *1.55</f>
        <v>24.412500000000001</v>
      </c>
      <c r="E21" s="16">
        <v>2</v>
      </c>
      <c r="F21" s="70">
        <f t="shared" si="1"/>
        <v>48.825000000000003</v>
      </c>
    </row>
    <row r="22" spans="2:6" x14ac:dyDescent="0.25">
      <c r="B22" s="27"/>
      <c r="C22" s="67" t="s">
        <v>32</v>
      </c>
      <c r="D22" s="67"/>
      <c r="E22" s="67"/>
      <c r="F22" s="67">
        <f>SUM(F15:F21)</f>
        <v>234.92500000000001</v>
      </c>
    </row>
    <row r="23" spans="2:6" x14ac:dyDescent="0.25">
      <c r="B23" s="85"/>
      <c r="C23" s="86"/>
      <c r="D23" s="86"/>
      <c r="E23" s="86"/>
      <c r="F23" s="87"/>
    </row>
    <row r="24" spans="2:6" x14ac:dyDescent="0.25">
      <c r="B24" s="88" t="s">
        <v>126</v>
      </c>
      <c r="C24" s="88"/>
      <c r="D24" s="88"/>
      <c r="E24" s="88"/>
      <c r="F24" s="88"/>
    </row>
    <row r="25" spans="2:6" x14ac:dyDescent="0.25">
      <c r="B25" s="68" t="s">
        <v>48</v>
      </c>
      <c r="C25" s="68" t="s">
        <v>121</v>
      </c>
      <c r="D25" s="68" t="s">
        <v>120</v>
      </c>
      <c r="E25" s="68" t="s">
        <v>45</v>
      </c>
      <c r="F25" s="68" t="s">
        <v>44</v>
      </c>
    </row>
    <row r="26" spans="2:6" x14ac:dyDescent="0.25">
      <c r="B26" s="27">
        <v>1</v>
      </c>
      <c r="C26" s="27" t="s">
        <v>125</v>
      </c>
      <c r="D26" s="27">
        <f>7.825*6</f>
        <v>46.95</v>
      </c>
      <c r="E26" s="27">
        <v>2</v>
      </c>
      <c r="F26" s="71">
        <f>B26*D26*E26</f>
        <v>93.9</v>
      </c>
    </row>
    <row r="27" spans="2:6" x14ac:dyDescent="0.25">
      <c r="B27" s="16">
        <v>6</v>
      </c>
      <c r="C27" s="16" t="s">
        <v>124</v>
      </c>
      <c r="D27" s="70">
        <f>8*6</f>
        <v>48</v>
      </c>
      <c r="E27" s="16">
        <v>2</v>
      </c>
      <c r="F27" s="70">
        <f>B27*D27*E27</f>
        <v>576</v>
      </c>
    </row>
    <row r="28" spans="2:6" x14ac:dyDescent="0.25">
      <c r="B28" s="27"/>
      <c r="C28" s="67" t="s">
        <v>32</v>
      </c>
      <c r="D28" s="67"/>
      <c r="E28" s="67"/>
      <c r="F28" s="67">
        <f>SUM(F26:F27)</f>
        <v>669.9</v>
      </c>
    </row>
    <row r="29" spans="2:6" x14ac:dyDescent="0.25">
      <c r="B29" s="85"/>
      <c r="C29" s="86"/>
      <c r="D29" s="86"/>
      <c r="E29" s="86"/>
      <c r="F29" s="87"/>
    </row>
    <row r="30" spans="2:6" x14ac:dyDescent="0.25">
      <c r="B30" s="91" t="s">
        <v>123</v>
      </c>
      <c r="C30" s="92"/>
      <c r="D30" s="92"/>
      <c r="E30" s="92"/>
      <c r="F30" s="93"/>
    </row>
    <row r="31" spans="2:6" x14ac:dyDescent="0.25">
      <c r="B31" s="68" t="s">
        <v>48</v>
      </c>
      <c r="C31" s="68" t="s">
        <v>121</v>
      </c>
      <c r="D31" s="68" t="s">
        <v>120</v>
      </c>
      <c r="E31" s="68" t="s">
        <v>45</v>
      </c>
      <c r="F31" s="68" t="s">
        <v>44</v>
      </c>
    </row>
    <row r="32" spans="2:6" x14ac:dyDescent="0.25">
      <c r="B32" s="16">
        <v>1</v>
      </c>
      <c r="C32" s="16" t="s">
        <v>53</v>
      </c>
      <c r="D32" s="16">
        <f>41.8*1.55</f>
        <v>64.789999999999992</v>
      </c>
      <c r="E32" s="16">
        <v>2</v>
      </c>
      <c r="F32" s="16">
        <f>B32*D32*E32</f>
        <v>129.57999999999998</v>
      </c>
    </row>
    <row r="33" spans="2:6" x14ac:dyDescent="0.25">
      <c r="B33" s="27"/>
      <c r="C33" s="67" t="s">
        <v>32</v>
      </c>
      <c r="D33" s="67"/>
      <c r="E33" s="67"/>
      <c r="F33" s="67">
        <f>SUM(F32)</f>
        <v>129.57999999999998</v>
      </c>
    </row>
    <row r="34" spans="2:6" x14ac:dyDescent="0.25">
      <c r="B34" s="85"/>
      <c r="C34" s="86"/>
      <c r="D34" s="86"/>
      <c r="E34" s="86"/>
      <c r="F34" s="87"/>
    </row>
    <row r="35" spans="2:6" x14ac:dyDescent="0.25">
      <c r="B35" s="91" t="s">
        <v>122</v>
      </c>
      <c r="C35" s="92"/>
      <c r="D35" s="92"/>
      <c r="E35" s="92"/>
      <c r="F35" s="93"/>
    </row>
    <row r="36" spans="2:6" x14ac:dyDescent="0.25">
      <c r="B36" s="68" t="s">
        <v>48</v>
      </c>
      <c r="C36" s="68" t="s">
        <v>121</v>
      </c>
      <c r="D36" s="68" t="s">
        <v>120</v>
      </c>
      <c r="E36" s="68" t="s">
        <v>45</v>
      </c>
      <c r="F36" s="68" t="s">
        <v>44</v>
      </c>
    </row>
    <row r="37" spans="2:6" x14ac:dyDescent="0.25">
      <c r="B37" s="27">
        <v>1</v>
      </c>
      <c r="C37" s="27" t="s">
        <v>88</v>
      </c>
      <c r="D37" s="27">
        <v>173.73</v>
      </c>
      <c r="E37" s="27">
        <v>2</v>
      </c>
      <c r="F37" s="27">
        <f>B37*D37*E37</f>
        <v>347.46</v>
      </c>
    </row>
    <row r="38" spans="2:6" x14ac:dyDescent="0.25">
      <c r="B38" s="16">
        <v>3</v>
      </c>
      <c r="C38" s="16" t="s">
        <v>119</v>
      </c>
      <c r="D38" s="16">
        <f>3.2*3.85</f>
        <v>12.32</v>
      </c>
      <c r="E38" s="16">
        <v>2</v>
      </c>
      <c r="F38" s="16">
        <f>B38*D38*E38</f>
        <v>73.92</v>
      </c>
    </row>
    <row r="39" spans="2:6" x14ac:dyDescent="0.25">
      <c r="B39" s="27"/>
      <c r="C39" s="67" t="s">
        <v>32</v>
      </c>
      <c r="D39" s="67"/>
      <c r="E39" s="67"/>
      <c r="F39" s="67">
        <f>SUM(F37:F38)</f>
        <v>421.38</v>
      </c>
    </row>
    <row r="40" spans="2:6" x14ac:dyDescent="0.25">
      <c r="B40" s="85"/>
      <c r="C40" s="86"/>
      <c r="D40" s="86"/>
      <c r="E40" s="86"/>
      <c r="F40" s="87"/>
    </row>
  </sheetData>
  <mergeCells count="13">
    <mergeCell ref="B29:F29"/>
    <mergeCell ref="B35:F35"/>
    <mergeCell ref="B34:F34"/>
    <mergeCell ref="B40:F40"/>
    <mergeCell ref="I2:M2"/>
    <mergeCell ref="H5:H6"/>
    <mergeCell ref="I3:M3"/>
    <mergeCell ref="B2:F2"/>
    <mergeCell ref="B13:F13"/>
    <mergeCell ref="B24:F24"/>
    <mergeCell ref="B30:F30"/>
    <mergeCell ref="B12:F12"/>
    <mergeCell ref="B23:F2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9"/>
  <sheetViews>
    <sheetView zoomScale="120" zoomScaleNormal="120" workbookViewId="0">
      <selection activeCell="E38" sqref="E38"/>
    </sheetView>
  </sheetViews>
  <sheetFormatPr defaultRowHeight="15" x14ac:dyDescent="0.25"/>
  <cols>
    <col min="1" max="1" width="5.5703125" customWidth="1"/>
    <col min="2" max="2" width="14.28515625" customWidth="1"/>
    <col min="3" max="3" width="20.28515625" customWidth="1"/>
    <col min="4" max="4" width="18.85546875" customWidth="1"/>
    <col min="5" max="5" width="16.7109375" customWidth="1"/>
    <col min="6" max="6" width="11.5703125" customWidth="1"/>
    <col min="7" max="7" width="7.85546875" customWidth="1"/>
    <col min="8" max="8" width="13.5703125" bestFit="1" customWidth="1"/>
    <col min="9" max="9" width="12.7109375" bestFit="1" customWidth="1"/>
    <col min="10" max="10" width="13.85546875" bestFit="1" customWidth="1"/>
  </cols>
  <sheetData>
    <row r="2" spans="2:13" x14ac:dyDescent="0.25">
      <c r="B2" s="88" t="s">
        <v>85</v>
      </c>
      <c r="C2" s="88"/>
      <c r="D2" s="88"/>
      <c r="E2" s="88"/>
      <c r="F2" s="88"/>
      <c r="G2" s="76"/>
      <c r="H2" s="68" t="s">
        <v>44</v>
      </c>
      <c r="I2" s="91" t="s">
        <v>84</v>
      </c>
      <c r="J2" s="92"/>
      <c r="K2" s="92"/>
      <c r="L2" s="92"/>
      <c r="M2" s="93"/>
    </row>
    <row r="3" spans="2:13" x14ac:dyDescent="0.25">
      <c r="B3" s="68" t="s">
        <v>90</v>
      </c>
      <c r="C3" s="68" t="s">
        <v>89</v>
      </c>
      <c r="D3" s="68" t="s">
        <v>46</v>
      </c>
      <c r="E3" s="68" t="s">
        <v>45</v>
      </c>
      <c r="F3" s="68" t="s">
        <v>44</v>
      </c>
      <c r="H3" s="82">
        <f>F34+F51+F58</f>
        <v>3052.7055</v>
      </c>
      <c r="I3" s="90">
        <f>H3/600</f>
        <v>5.0878424999999998</v>
      </c>
      <c r="J3" s="90"/>
      <c r="K3" s="90"/>
      <c r="L3" s="90"/>
      <c r="M3" s="90"/>
    </row>
    <row r="4" spans="2:13" x14ac:dyDescent="0.25">
      <c r="B4" s="27">
        <v>1</v>
      </c>
      <c r="C4" s="27" t="s">
        <v>118</v>
      </c>
      <c r="D4" s="79">
        <f>4.3*6.4</f>
        <v>27.52</v>
      </c>
      <c r="E4" s="79">
        <v>2</v>
      </c>
      <c r="F4" s="79">
        <f t="shared" ref="F4:F30" si="0">B4*D4*E4</f>
        <v>55.04</v>
      </c>
    </row>
    <row r="5" spans="2:13" x14ac:dyDescent="0.25">
      <c r="B5" s="16">
        <v>1</v>
      </c>
      <c r="C5" s="16" t="s">
        <v>101</v>
      </c>
      <c r="D5" s="78">
        <v>60.51</v>
      </c>
      <c r="E5" s="78">
        <v>1</v>
      </c>
      <c r="F5" s="78">
        <f t="shared" si="0"/>
        <v>60.51</v>
      </c>
      <c r="H5" s="89" t="s">
        <v>81</v>
      </c>
      <c r="I5" s="68" t="s">
        <v>80</v>
      </c>
      <c r="J5" s="68" t="s">
        <v>79</v>
      </c>
    </row>
    <row r="6" spans="2:13" x14ac:dyDescent="0.25">
      <c r="B6" s="27">
        <v>1</v>
      </c>
      <c r="C6" s="27" t="s">
        <v>117</v>
      </c>
      <c r="D6" s="79">
        <f>6*3.2</f>
        <v>19.200000000000003</v>
      </c>
      <c r="E6" s="79">
        <v>1</v>
      </c>
      <c r="F6" s="79">
        <f t="shared" si="0"/>
        <v>19.200000000000003</v>
      </c>
      <c r="H6" s="89"/>
      <c r="I6" s="72">
        <f>788*I3</f>
        <v>4009.2198899999999</v>
      </c>
      <c r="J6" s="72">
        <f>I6*13.33*1.22</f>
        <v>65200.339383113998</v>
      </c>
    </row>
    <row r="7" spans="2:13" x14ac:dyDescent="0.25">
      <c r="B7" s="16">
        <v>1</v>
      </c>
      <c r="C7" s="16" t="s">
        <v>76</v>
      </c>
      <c r="D7" s="78">
        <f>6*3.4</f>
        <v>20.399999999999999</v>
      </c>
      <c r="E7" s="78">
        <v>2</v>
      </c>
      <c r="F7" s="78">
        <f t="shared" si="0"/>
        <v>40.799999999999997</v>
      </c>
    </row>
    <row r="8" spans="2:13" x14ac:dyDescent="0.25">
      <c r="B8" s="27">
        <v>1</v>
      </c>
      <c r="C8" s="27" t="s">
        <v>116</v>
      </c>
      <c r="D8" s="79">
        <v>13.1</v>
      </c>
      <c r="E8" s="79">
        <v>1</v>
      </c>
      <c r="F8" s="79">
        <f t="shared" si="0"/>
        <v>13.1</v>
      </c>
    </row>
    <row r="9" spans="2:13" x14ac:dyDescent="0.25">
      <c r="B9" s="16">
        <v>1</v>
      </c>
      <c r="C9" s="16" t="s">
        <v>82</v>
      </c>
      <c r="D9" s="78">
        <v>10.58</v>
      </c>
      <c r="E9" s="78">
        <v>1</v>
      </c>
      <c r="F9" s="78">
        <f t="shared" si="0"/>
        <v>10.58</v>
      </c>
    </row>
    <row r="10" spans="2:13" x14ac:dyDescent="0.25">
      <c r="B10" s="27">
        <v>2</v>
      </c>
      <c r="C10" s="27" t="s">
        <v>115</v>
      </c>
      <c r="D10" s="79">
        <f>1.7*1.5</f>
        <v>2.5499999999999998</v>
      </c>
      <c r="E10" s="79">
        <v>2</v>
      </c>
      <c r="F10" s="79">
        <f t="shared" si="0"/>
        <v>10.199999999999999</v>
      </c>
    </row>
    <row r="11" spans="2:13" x14ac:dyDescent="0.25">
      <c r="B11" s="16">
        <v>1</v>
      </c>
      <c r="C11" s="16" t="s">
        <v>114</v>
      </c>
      <c r="D11" s="78">
        <f>1.3*2.7</f>
        <v>3.5100000000000002</v>
      </c>
      <c r="E11" s="78">
        <v>2</v>
      </c>
      <c r="F11" s="78">
        <f t="shared" si="0"/>
        <v>7.0200000000000005</v>
      </c>
    </row>
    <row r="12" spans="2:13" x14ac:dyDescent="0.25">
      <c r="B12" s="27">
        <v>1</v>
      </c>
      <c r="C12" s="27" t="s">
        <v>113</v>
      </c>
      <c r="D12" s="79">
        <f>4.55*2.7</f>
        <v>12.285</v>
      </c>
      <c r="E12" s="79">
        <v>2</v>
      </c>
      <c r="F12" s="79">
        <f t="shared" si="0"/>
        <v>24.57</v>
      </c>
    </row>
    <row r="13" spans="2:13" x14ac:dyDescent="0.25">
      <c r="B13" s="69">
        <v>2</v>
      </c>
      <c r="C13" s="69" t="s">
        <v>112</v>
      </c>
      <c r="D13" s="81">
        <f>4.8*2.6</f>
        <v>12.48</v>
      </c>
      <c r="E13" s="81">
        <v>2</v>
      </c>
      <c r="F13" s="81">
        <f t="shared" si="0"/>
        <v>49.92</v>
      </c>
    </row>
    <row r="14" spans="2:13" x14ac:dyDescent="0.25">
      <c r="B14" s="27">
        <v>2</v>
      </c>
      <c r="C14" s="27" t="s">
        <v>111</v>
      </c>
      <c r="D14" s="79">
        <f>1.3*2.6</f>
        <v>3.3800000000000003</v>
      </c>
      <c r="E14" s="79">
        <v>1</v>
      </c>
      <c r="F14" s="79">
        <f t="shared" si="0"/>
        <v>6.7600000000000007</v>
      </c>
    </row>
    <row r="15" spans="2:13" x14ac:dyDescent="0.25">
      <c r="B15" s="16">
        <v>1</v>
      </c>
      <c r="C15" s="16" t="s">
        <v>110</v>
      </c>
      <c r="D15" s="78">
        <f>2.4*3.15</f>
        <v>7.56</v>
      </c>
      <c r="E15" s="78">
        <v>4</v>
      </c>
      <c r="F15" s="78">
        <f t="shared" si="0"/>
        <v>30.24</v>
      </c>
    </row>
    <row r="16" spans="2:13" x14ac:dyDescent="0.25">
      <c r="B16" s="27">
        <v>2</v>
      </c>
      <c r="C16" s="27" t="s">
        <v>109</v>
      </c>
      <c r="D16" s="79">
        <f>6*5.95</f>
        <v>35.700000000000003</v>
      </c>
      <c r="E16" s="79">
        <v>2</v>
      </c>
      <c r="F16" s="79">
        <f t="shared" si="0"/>
        <v>142.80000000000001</v>
      </c>
    </row>
    <row r="17" spans="2:6" x14ac:dyDescent="0.25">
      <c r="B17" s="16">
        <v>2</v>
      </c>
      <c r="C17" s="16" t="s">
        <v>92</v>
      </c>
      <c r="D17" s="78">
        <v>26.9</v>
      </c>
      <c r="E17" s="78">
        <v>2</v>
      </c>
      <c r="F17" s="78">
        <f t="shared" si="0"/>
        <v>107.6</v>
      </c>
    </row>
    <row r="18" spans="2:6" x14ac:dyDescent="0.25">
      <c r="B18" s="27">
        <v>1</v>
      </c>
      <c r="C18" s="27" t="s">
        <v>101</v>
      </c>
      <c r="D18" s="79">
        <v>17.510000000000002</v>
      </c>
      <c r="E18" s="79">
        <v>2</v>
      </c>
      <c r="F18" s="79">
        <f t="shared" si="0"/>
        <v>35.020000000000003</v>
      </c>
    </row>
    <row r="19" spans="2:6" x14ac:dyDescent="0.25">
      <c r="B19" s="16">
        <v>1</v>
      </c>
      <c r="C19" s="16" t="s">
        <v>108</v>
      </c>
      <c r="D19" s="78">
        <f>3.9*1.1</f>
        <v>4.29</v>
      </c>
      <c r="E19" s="78">
        <v>1</v>
      </c>
      <c r="F19" s="78">
        <f t="shared" si="0"/>
        <v>4.29</v>
      </c>
    </row>
    <row r="20" spans="2:6" x14ac:dyDescent="0.25">
      <c r="B20" s="27">
        <v>1</v>
      </c>
      <c r="C20" s="27" t="s">
        <v>107</v>
      </c>
      <c r="D20" s="79">
        <v>10.52</v>
      </c>
      <c r="E20" s="79">
        <v>2</v>
      </c>
      <c r="F20" s="79">
        <f t="shared" si="0"/>
        <v>21.04</v>
      </c>
    </row>
    <row r="21" spans="2:6" x14ac:dyDescent="0.25">
      <c r="B21" s="16">
        <v>1</v>
      </c>
      <c r="C21" s="16" t="s">
        <v>101</v>
      </c>
      <c r="D21" s="78">
        <v>2.86</v>
      </c>
      <c r="E21" s="78">
        <v>2</v>
      </c>
      <c r="F21" s="78">
        <f t="shared" si="0"/>
        <v>5.72</v>
      </c>
    </row>
    <row r="22" spans="2:6" x14ac:dyDescent="0.25">
      <c r="B22" s="27">
        <v>1</v>
      </c>
      <c r="C22" s="27" t="s">
        <v>106</v>
      </c>
      <c r="D22" s="79">
        <f>11.35</f>
        <v>11.35</v>
      </c>
      <c r="E22" s="79">
        <v>2</v>
      </c>
      <c r="F22" s="79">
        <f t="shared" si="0"/>
        <v>22.7</v>
      </c>
    </row>
    <row r="23" spans="2:6" x14ac:dyDescent="0.25">
      <c r="B23" s="16">
        <v>1</v>
      </c>
      <c r="C23" s="16" t="s">
        <v>105</v>
      </c>
      <c r="D23" s="78">
        <f>2.61*2.15</f>
        <v>5.6114999999999995</v>
      </c>
      <c r="E23" s="78">
        <v>2</v>
      </c>
      <c r="F23" s="78">
        <f t="shared" si="0"/>
        <v>11.222999999999999</v>
      </c>
    </row>
    <row r="24" spans="2:6" x14ac:dyDescent="0.25">
      <c r="B24" s="27">
        <v>1</v>
      </c>
      <c r="C24" s="27" t="s">
        <v>60</v>
      </c>
      <c r="D24" s="79">
        <f>1.85*1.85</f>
        <v>3.4225000000000003</v>
      </c>
      <c r="E24" s="79">
        <v>1</v>
      </c>
      <c r="F24" s="79">
        <f t="shared" si="0"/>
        <v>3.4225000000000003</v>
      </c>
    </row>
    <row r="25" spans="2:6" x14ac:dyDescent="0.25">
      <c r="B25" s="16">
        <v>2</v>
      </c>
      <c r="C25" s="16" t="s">
        <v>104</v>
      </c>
      <c r="D25" s="78">
        <f>2.05*1.85</f>
        <v>3.7925</v>
      </c>
      <c r="E25" s="78">
        <v>4</v>
      </c>
      <c r="F25" s="78">
        <f t="shared" si="0"/>
        <v>30.34</v>
      </c>
    </row>
    <row r="26" spans="2:6" x14ac:dyDescent="0.25">
      <c r="B26" s="27">
        <v>1</v>
      </c>
      <c r="C26" s="27" t="s">
        <v>103</v>
      </c>
      <c r="D26" s="79">
        <f>2.5*1.85</f>
        <v>4.625</v>
      </c>
      <c r="E26" s="79">
        <v>4</v>
      </c>
      <c r="F26" s="79">
        <f t="shared" si="0"/>
        <v>18.5</v>
      </c>
    </row>
    <row r="27" spans="2:6" x14ac:dyDescent="0.25">
      <c r="B27" s="16">
        <v>1</v>
      </c>
      <c r="C27" s="16" t="s">
        <v>102</v>
      </c>
      <c r="D27" s="78">
        <v>89.04</v>
      </c>
      <c r="E27" s="78">
        <v>2</v>
      </c>
      <c r="F27" s="78">
        <f t="shared" si="0"/>
        <v>178.08</v>
      </c>
    </row>
    <row r="28" spans="2:6" x14ac:dyDescent="0.25">
      <c r="B28" s="27">
        <v>1</v>
      </c>
      <c r="C28" s="27" t="s">
        <v>101</v>
      </c>
      <c r="D28" s="79">
        <v>3.52</v>
      </c>
      <c r="E28" s="79">
        <v>2</v>
      </c>
      <c r="F28" s="79">
        <f t="shared" si="0"/>
        <v>7.04</v>
      </c>
    </row>
    <row r="29" spans="2:6" x14ac:dyDescent="0.25">
      <c r="B29" s="16">
        <v>1</v>
      </c>
      <c r="C29" s="16" t="s">
        <v>62</v>
      </c>
      <c r="D29" s="78">
        <v>40.130000000000003</v>
      </c>
      <c r="E29" s="78">
        <v>2</v>
      </c>
      <c r="F29" s="78">
        <f t="shared" si="0"/>
        <v>80.260000000000005</v>
      </c>
    </row>
    <row r="30" spans="2:6" x14ac:dyDescent="0.25">
      <c r="B30" s="27">
        <v>1</v>
      </c>
      <c r="C30" s="27" t="s">
        <v>101</v>
      </c>
      <c r="D30" s="79">
        <v>4.8600000000000003</v>
      </c>
      <c r="E30" s="79">
        <v>2</v>
      </c>
      <c r="F30" s="79">
        <f t="shared" si="0"/>
        <v>9.7200000000000006</v>
      </c>
    </row>
    <row r="31" spans="2:6" x14ac:dyDescent="0.25">
      <c r="B31" s="16">
        <v>1</v>
      </c>
      <c r="C31" s="16" t="s">
        <v>65</v>
      </c>
      <c r="D31" s="78">
        <f>4.3*2.05</f>
        <v>8.8149999999999995</v>
      </c>
      <c r="E31" s="78">
        <v>1</v>
      </c>
      <c r="F31" s="78">
        <f>B31*D32*E31</f>
        <v>26.93</v>
      </c>
    </row>
    <row r="32" spans="2:6" x14ac:dyDescent="0.25">
      <c r="B32" s="27">
        <v>1</v>
      </c>
      <c r="C32" s="27" t="s">
        <v>100</v>
      </c>
      <c r="D32" s="79">
        <v>26.93</v>
      </c>
      <c r="E32" s="79">
        <v>2</v>
      </c>
      <c r="F32" s="79">
        <f>B32*D32*E32</f>
        <v>53.86</v>
      </c>
    </row>
    <row r="33" spans="2:9" x14ac:dyDescent="0.25">
      <c r="B33" s="16">
        <v>1</v>
      </c>
      <c r="C33" s="16" t="s">
        <v>99</v>
      </c>
      <c r="D33" s="78">
        <v>29.2</v>
      </c>
      <c r="E33" s="78">
        <v>2</v>
      </c>
      <c r="F33" s="78">
        <f>B33*D33*E33</f>
        <v>58.4</v>
      </c>
    </row>
    <row r="34" spans="2:9" x14ac:dyDescent="0.25">
      <c r="B34" s="27"/>
      <c r="C34" s="67" t="s">
        <v>32</v>
      </c>
      <c r="D34" s="77"/>
      <c r="E34" s="77"/>
      <c r="F34" s="77">
        <f>SUM(F4:F33)</f>
        <v>1144.8855000000001</v>
      </c>
    </row>
    <row r="35" spans="2:9" x14ac:dyDescent="0.25">
      <c r="B35" s="85"/>
      <c r="C35" s="86"/>
      <c r="D35" s="86"/>
      <c r="E35" s="86"/>
      <c r="F35" s="87"/>
    </row>
    <row r="36" spans="2:9" x14ac:dyDescent="0.25">
      <c r="B36" s="88" t="s">
        <v>74</v>
      </c>
      <c r="C36" s="88"/>
      <c r="D36" s="88"/>
      <c r="E36" s="88"/>
      <c r="F36" s="88"/>
      <c r="G36" s="76"/>
      <c r="I36" s="80"/>
    </row>
    <row r="37" spans="2:9" x14ac:dyDescent="0.25">
      <c r="B37" s="68" t="s">
        <v>90</v>
      </c>
      <c r="C37" s="68" t="s">
        <v>89</v>
      </c>
      <c r="D37" s="68" t="s">
        <v>46</v>
      </c>
      <c r="E37" s="68" t="s">
        <v>45</v>
      </c>
      <c r="F37" s="68" t="s">
        <v>44</v>
      </c>
    </row>
    <row r="38" spans="2:9" x14ac:dyDescent="0.25">
      <c r="B38" s="16">
        <v>2</v>
      </c>
      <c r="C38" s="16" t="s">
        <v>93</v>
      </c>
      <c r="D38" s="78">
        <f>6*5.95</f>
        <v>35.700000000000003</v>
      </c>
      <c r="E38" s="16">
        <v>2</v>
      </c>
      <c r="F38" s="78">
        <f t="shared" ref="F38:F50" si="1">B38*D38*E38</f>
        <v>142.80000000000001</v>
      </c>
    </row>
    <row r="39" spans="2:9" x14ac:dyDescent="0.25">
      <c r="B39" s="27">
        <v>2</v>
      </c>
      <c r="C39" s="27" t="s">
        <v>95</v>
      </c>
      <c r="D39" s="27">
        <f>6.25*2.6</f>
        <v>16.25</v>
      </c>
      <c r="E39" s="27">
        <v>4</v>
      </c>
      <c r="F39" s="79">
        <f t="shared" si="1"/>
        <v>130</v>
      </c>
    </row>
    <row r="40" spans="2:9" x14ac:dyDescent="0.25">
      <c r="B40" s="16">
        <v>1</v>
      </c>
      <c r="C40" s="16" t="s">
        <v>98</v>
      </c>
      <c r="D40" s="16">
        <f>2.4*3</f>
        <v>7.1999999999999993</v>
      </c>
      <c r="E40" s="16">
        <v>4</v>
      </c>
      <c r="F40" s="78">
        <f t="shared" si="1"/>
        <v>28.799999999999997</v>
      </c>
    </row>
    <row r="41" spans="2:9" x14ac:dyDescent="0.25">
      <c r="B41" s="27">
        <v>2</v>
      </c>
      <c r="C41" s="27" t="s">
        <v>93</v>
      </c>
      <c r="D41" s="79">
        <f>6*5.95</f>
        <v>35.700000000000003</v>
      </c>
      <c r="E41" s="27">
        <v>2</v>
      </c>
      <c r="F41" s="79">
        <f t="shared" si="1"/>
        <v>142.80000000000001</v>
      </c>
    </row>
    <row r="42" spans="2:9" x14ac:dyDescent="0.25">
      <c r="B42" s="16">
        <v>1</v>
      </c>
      <c r="C42" s="16" t="s">
        <v>97</v>
      </c>
      <c r="D42" s="78">
        <f>6*5.95</f>
        <v>35.700000000000003</v>
      </c>
      <c r="E42" s="16">
        <v>2</v>
      </c>
      <c r="F42" s="78">
        <f t="shared" si="1"/>
        <v>71.400000000000006</v>
      </c>
    </row>
    <row r="43" spans="2:9" x14ac:dyDescent="0.25">
      <c r="B43" s="27">
        <v>2</v>
      </c>
      <c r="C43" s="27" t="s">
        <v>92</v>
      </c>
      <c r="D43" s="79">
        <v>26.9</v>
      </c>
      <c r="E43" s="27">
        <v>2</v>
      </c>
      <c r="F43" s="79">
        <f t="shared" si="1"/>
        <v>107.6</v>
      </c>
    </row>
    <row r="44" spans="2:9" x14ac:dyDescent="0.25">
      <c r="B44" s="16">
        <v>1</v>
      </c>
      <c r="C44" s="16" t="s">
        <v>96</v>
      </c>
      <c r="D44" s="16">
        <v>70.5</v>
      </c>
      <c r="E44" s="16">
        <v>2</v>
      </c>
      <c r="F44" s="78">
        <f t="shared" si="1"/>
        <v>141</v>
      </c>
    </row>
    <row r="45" spans="2:9" x14ac:dyDescent="0.25">
      <c r="B45" s="27">
        <v>2</v>
      </c>
      <c r="C45" s="27" t="s">
        <v>93</v>
      </c>
      <c r="D45" s="79">
        <f>6*5.95</f>
        <v>35.700000000000003</v>
      </c>
      <c r="E45" s="27">
        <v>2</v>
      </c>
      <c r="F45" s="79">
        <f t="shared" si="1"/>
        <v>142.80000000000001</v>
      </c>
    </row>
    <row r="46" spans="2:9" x14ac:dyDescent="0.25">
      <c r="B46" s="16">
        <v>2</v>
      </c>
      <c r="C46" s="16" t="s">
        <v>95</v>
      </c>
      <c r="D46" s="16">
        <v>13.81</v>
      </c>
      <c r="E46" s="16">
        <v>4</v>
      </c>
      <c r="F46" s="78">
        <f t="shared" si="1"/>
        <v>110.48</v>
      </c>
    </row>
    <row r="47" spans="2:9" x14ac:dyDescent="0.25">
      <c r="B47" s="27">
        <v>2</v>
      </c>
      <c r="C47" s="27" t="s">
        <v>94</v>
      </c>
      <c r="D47" s="27">
        <f>1.2*1.5</f>
        <v>1.7999999999999998</v>
      </c>
      <c r="E47" s="27">
        <v>4</v>
      </c>
      <c r="F47" s="79">
        <f t="shared" si="1"/>
        <v>14.399999999999999</v>
      </c>
    </row>
    <row r="48" spans="2:9" x14ac:dyDescent="0.25">
      <c r="B48" s="16">
        <v>2</v>
      </c>
      <c r="C48" s="16" t="s">
        <v>93</v>
      </c>
      <c r="D48" s="78">
        <f>6*5.95</f>
        <v>35.700000000000003</v>
      </c>
      <c r="E48" s="16">
        <v>2</v>
      </c>
      <c r="F48" s="78">
        <f t="shared" si="1"/>
        <v>142.80000000000001</v>
      </c>
    </row>
    <row r="49" spans="2:7" x14ac:dyDescent="0.25">
      <c r="B49" s="27">
        <v>2</v>
      </c>
      <c r="C49" s="27" t="s">
        <v>92</v>
      </c>
      <c r="D49" s="79">
        <v>26.9</v>
      </c>
      <c r="E49" s="27">
        <v>2</v>
      </c>
      <c r="F49" s="79">
        <f t="shared" si="1"/>
        <v>107.6</v>
      </c>
    </row>
    <row r="50" spans="2:7" x14ac:dyDescent="0.25">
      <c r="B50" s="16">
        <v>1</v>
      </c>
      <c r="C50" s="16" t="s">
        <v>91</v>
      </c>
      <c r="D50" s="16">
        <f>3*2.5</f>
        <v>7.5</v>
      </c>
      <c r="E50" s="16">
        <v>1</v>
      </c>
      <c r="F50" s="78">
        <f t="shared" si="1"/>
        <v>7.5</v>
      </c>
    </row>
    <row r="51" spans="2:7" x14ac:dyDescent="0.25">
      <c r="B51" s="27"/>
      <c r="C51" s="67" t="s">
        <v>32</v>
      </c>
      <c r="D51" s="67"/>
      <c r="E51" s="67"/>
      <c r="F51" s="77">
        <f>SUM(F38:F50)</f>
        <v>1289.98</v>
      </c>
    </row>
    <row r="52" spans="2:7" x14ac:dyDescent="0.25">
      <c r="B52" s="85"/>
      <c r="C52" s="86"/>
      <c r="D52" s="86"/>
      <c r="E52" s="86"/>
      <c r="F52" s="87"/>
    </row>
    <row r="53" spans="2:7" x14ac:dyDescent="0.25">
      <c r="B53" s="88" t="s">
        <v>49</v>
      </c>
      <c r="C53" s="88"/>
      <c r="D53" s="88"/>
      <c r="E53" s="88"/>
      <c r="F53" s="88"/>
      <c r="G53" s="76"/>
    </row>
    <row r="54" spans="2:7" x14ac:dyDescent="0.25">
      <c r="B54" s="68" t="s">
        <v>90</v>
      </c>
      <c r="C54" s="68" t="s">
        <v>89</v>
      </c>
      <c r="D54" s="68" t="s">
        <v>46</v>
      </c>
      <c r="E54" s="68" t="s">
        <v>45</v>
      </c>
      <c r="F54" s="68" t="s">
        <v>44</v>
      </c>
    </row>
    <row r="55" spans="2:7" x14ac:dyDescent="0.25">
      <c r="B55" s="16">
        <v>1</v>
      </c>
      <c r="C55" s="16" t="s">
        <v>88</v>
      </c>
      <c r="D55" s="16">
        <f>19*11.05</f>
        <v>209.95000000000002</v>
      </c>
      <c r="E55" s="16">
        <v>2</v>
      </c>
      <c r="F55" s="16">
        <f>B55*D55*E55</f>
        <v>419.90000000000003</v>
      </c>
    </row>
    <row r="56" spans="2:7" x14ac:dyDescent="0.25">
      <c r="B56" s="27">
        <v>1</v>
      </c>
      <c r="C56" s="27" t="s">
        <v>87</v>
      </c>
      <c r="D56" s="27">
        <v>76.77</v>
      </c>
      <c r="E56" s="27">
        <v>2</v>
      </c>
      <c r="F56" s="27">
        <f>B56*D56*E56</f>
        <v>153.54</v>
      </c>
    </row>
    <row r="57" spans="2:7" x14ac:dyDescent="0.25">
      <c r="B57" s="16">
        <v>1</v>
      </c>
      <c r="C57" s="16" t="s">
        <v>86</v>
      </c>
      <c r="D57" s="16">
        <f>2.22*10</f>
        <v>22.200000000000003</v>
      </c>
      <c r="E57" s="16">
        <v>2</v>
      </c>
      <c r="F57" s="16">
        <f>B57*D57*E57</f>
        <v>44.400000000000006</v>
      </c>
    </row>
    <row r="58" spans="2:7" x14ac:dyDescent="0.25">
      <c r="B58" s="27"/>
      <c r="C58" s="67" t="s">
        <v>32</v>
      </c>
      <c r="D58" s="67"/>
      <c r="E58" s="67"/>
      <c r="F58" s="67">
        <f>SUM(F55:F57)</f>
        <v>617.84</v>
      </c>
    </row>
    <row r="59" spans="2:7" x14ac:dyDescent="0.25">
      <c r="B59" s="85"/>
      <c r="C59" s="86"/>
      <c r="D59" s="86"/>
      <c r="E59" s="86"/>
      <c r="F59" s="87"/>
    </row>
  </sheetData>
  <mergeCells count="9">
    <mergeCell ref="B59:F59"/>
    <mergeCell ref="B52:F52"/>
    <mergeCell ref="I2:M2"/>
    <mergeCell ref="H5:H6"/>
    <mergeCell ref="I3:M3"/>
    <mergeCell ref="B2:F2"/>
    <mergeCell ref="B36:F36"/>
    <mergeCell ref="B53:F53"/>
    <mergeCell ref="B35:F35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0"/>
  <sheetViews>
    <sheetView zoomScaleNormal="100" workbookViewId="0">
      <selection activeCell="C5" sqref="C5"/>
    </sheetView>
  </sheetViews>
  <sheetFormatPr defaultRowHeight="15" x14ac:dyDescent="0.25"/>
  <cols>
    <col min="1" max="1" width="4.140625" customWidth="1"/>
    <col min="2" max="2" width="27.140625" customWidth="1"/>
    <col min="3" max="3" width="19.5703125" customWidth="1"/>
    <col min="4" max="7" width="15.7109375" customWidth="1"/>
    <col min="8" max="8" width="14.140625" customWidth="1"/>
    <col min="9" max="9" width="23.28515625" customWidth="1"/>
    <col min="10" max="10" width="23.42578125" customWidth="1"/>
    <col min="11" max="11" width="23.140625" customWidth="1"/>
    <col min="12" max="12" width="22.5703125" customWidth="1"/>
    <col min="13" max="13" width="15" customWidth="1"/>
    <col min="14" max="14" width="16.7109375" customWidth="1"/>
  </cols>
  <sheetData>
    <row r="2" spans="2:13" ht="15.75" x14ac:dyDescent="0.25">
      <c r="B2" s="95" t="s">
        <v>145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2:13" ht="78.75" x14ac:dyDescent="0.25">
      <c r="B3" s="84" t="s">
        <v>0</v>
      </c>
      <c r="C3" s="84" t="s">
        <v>136</v>
      </c>
      <c r="D3" s="84" t="s">
        <v>142</v>
      </c>
      <c r="E3" s="84" t="s">
        <v>147</v>
      </c>
      <c r="F3" s="84" t="s">
        <v>144</v>
      </c>
      <c r="G3" s="84" t="s">
        <v>135</v>
      </c>
      <c r="H3" s="84" t="s">
        <v>137</v>
      </c>
      <c r="I3" s="84" t="s">
        <v>138</v>
      </c>
      <c r="J3" s="84" t="s">
        <v>139</v>
      </c>
      <c r="K3" s="84" t="s">
        <v>140</v>
      </c>
      <c r="L3" s="84" t="s">
        <v>141</v>
      </c>
      <c r="M3" s="84" t="s">
        <v>148</v>
      </c>
    </row>
    <row r="4" spans="2:13" ht="15" customHeight="1" x14ac:dyDescent="0.25">
      <c r="B4" s="28" t="s">
        <v>1</v>
      </c>
      <c r="C4" s="40"/>
      <c r="D4" s="40"/>
      <c r="E4" s="40"/>
      <c r="F4" s="40"/>
      <c r="G4" s="40"/>
      <c r="H4" s="33"/>
      <c r="I4" s="40"/>
      <c r="J4" s="40"/>
      <c r="K4" s="40"/>
      <c r="L4" s="40"/>
      <c r="M4" s="40"/>
    </row>
    <row r="5" spans="2:13" ht="15" customHeight="1" x14ac:dyDescent="0.25">
      <c r="B5" s="29" t="s">
        <v>2</v>
      </c>
      <c r="C5" s="42">
        <f>'Professores - Escola 12 Salas'!H25</f>
        <v>917953.17659443105</v>
      </c>
      <c r="D5" s="42">
        <f>'Limpeza - Creche 10 salas'!J6</f>
        <v>65200.339383113998</v>
      </c>
      <c r="E5" s="42">
        <f>788*13.33*1.22</f>
        <v>12814.928800000002</v>
      </c>
      <c r="F5" s="42">
        <f>1000*13.33*1.22</f>
        <v>16262.6</v>
      </c>
      <c r="G5" s="42">
        <f>SUM(C5:F5)</f>
        <v>1012231.044777545</v>
      </c>
      <c r="H5" s="43">
        <f>'Professores - Escola 12 Salas'!I25</f>
        <v>130</v>
      </c>
      <c r="I5" s="42">
        <f>G5/H5</f>
        <v>7786.3926521349622</v>
      </c>
      <c r="J5" s="42">
        <f>G5*100/90/H5</f>
        <v>8651.5473912610687</v>
      </c>
      <c r="K5" s="42">
        <f>G5*100/80/H5</f>
        <v>9732.9908151687014</v>
      </c>
      <c r="L5" s="42">
        <f>G5*100/70/H5</f>
        <v>11123.418074478517</v>
      </c>
      <c r="M5" s="42">
        <f>I5/fator_padrão</f>
        <v>2.5151466937633562</v>
      </c>
    </row>
    <row r="6" spans="2:13" x14ac:dyDescent="0.25">
      <c r="B6" s="28" t="s">
        <v>3</v>
      </c>
      <c r="C6" s="48"/>
      <c r="D6" s="48"/>
      <c r="E6" s="48"/>
      <c r="F6" s="48"/>
      <c r="G6" s="48"/>
      <c r="H6" s="33"/>
      <c r="I6" s="48"/>
      <c r="J6" s="48"/>
      <c r="K6" s="48"/>
      <c r="L6" s="48"/>
      <c r="M6" s="48"/>
    </row>
    <row r="7" spans="2:13" x14ac:dyDescent="0.25">
      <c r="B7" s="29" t="s">
        <v>2</v>
      </c>
      <c r="C7" s="42">
        <f>'Professores - Escola 12 Salas'!H27</f>
        <v>1311361.6808491873</v>
      </c>
      <c r="D7" s="42">
        <f>'Limpeza - Creche 10 salas'!J6</f>
        <v>65200.339383113998</v>
      </c>
      <c r="E7" s="42">
        <f>788*2*13.33*1.22</f>
        <v>25629.857600000003</v>
      </c>
      <c r="F7" s="42">
        <f>1000*2*13.33*1.22</f>
        <v>32525.200000000001</v>
      </c>
      <c r="G7" s="42">
        <f>SUM(C7:F7)</f>
        <v>1434717.0778323011</v>
      </c>
      <c r="H7" s="43">
        <f>'Professores - Escola 12 Salas'!I27</f>
        <v>260</v>
      </c>
      <c r="I7" s="42">
        <f>G7/H7</f>
        <v>5518.1426070473117</v>
      </c>
      <c r="J7" s="42">
        <f>G7*100/90/H7</f>
        <v>6131.2695633859021</v>
      </c>
      <c r="K7" s="42">
        <f>G7*100/80/H7</f>
        <v>6897.678258809141</v>
      </c>
      <c r="L7" s="42">
        <f>G7*100/70/H7</f>
        <v>7883.0608672104463</v>
      </c>
      <c r="M7" s="42">
        <f t="shared" ref="M7:M14" si="0">I7/fator_padrão</f>
        <v>1.782460601961072</v>
      </c>
    </row>
    <row r="8" spans="2:13" x14ac:dyDescent="0.25">
      <c r="B8" s="28" t="s">
        <v>4</v>
      </c>
      <c r="C8" s="42">
        <f>'Professores - Escola 12 Salas'!H28</f>
        <v>1101543.8119133173</v>
      </c>
      <c r="D8" s="42">
        <f>'Limpeza - Escola 12 salas'!J6</f>
        <v>109499.61532628666</v>
      </c>
      <c r="E8" s="42">
        <f>788*2*13.33*1.22</f>
        <v>25629.857600000003</v>
      </c>
      <c r="F8" s="42">
        <f>1000*2*13.33*1.22</f>
        <v>32525.200000000001</v>
      </c>
      <c r="G8" s="42">
        <f t="shared" ref="G8:G14" si="1">SUM(C8:F8)</f>
        <v>1269198.484839604</v>
      </c>
      <c r="H8" s="43">
        <f>'Professores - Escola 12 Salas'!I28</f>
        <v>240</v>
      </c>
      <c r="I8" s="42">
        <f t="shared" ref="I8:I14" si="2">G8/H8</f>
        <v>5288.3270201650166</v>
      </c>
      <c r="J8" s="42">
        <f t="shared" ref="J8:J14" si="3">G8*100/90/H8</f>
        <v>5875.9189112944632</v>
      </c>
      <c r="K8" s="42">
        <f t="shared" ref="K8:K14" si="4">G8*100/80/H8</f>
        <v>6610.4087752062715</v>
      </c>
      <c r="L8" s="42">
        <f t="shared" ref="L8:L14" si="5">G8*100/70/H8</f>
        <v>7554.7528859500244</v>
      </c>
      <c r="M8" s="42">
        <f t="shared" si="0"/>
        <v>1.7082259801861477</v>
      </c>
    </row>
    <row r="9" spans="2:13" x14ac:dyDescent="0.25">
      <c r="B9" s="29" t="s">
        <v>5</v>
      </c>
      <c r="C9" s="42">
        <f>'Professores - Escola 12 Salas'!H29</f>
        <v>1573634.0170190248</v>
      </c>
      <c r="D9" s="42">
        <f>'Limpeza - Escola 12 salas'!J6</f>
        <v>109499.61532628666</v>
      </c>
      <c r="E9" s="42">
        <f>788*4*13.33*1.22</f>
        <v>51259.715200000006</v>
      </c>
      <c r="F9" s="42">
        <f>1000*3*13.33*1.22</f>
        <v>48787.799999999996</v>
      </c>
      <c r="G9" s="42">
        <f t="shared" si="1"/>
        <v>1783181.1475453116</v>
      </c>
      <c r="H9" s="43">
        <f>'Professores - Escola 12 Salas'!I29</f>
        <v>480</v>
      </c>
      <c r="I9" s="42">
        <f t="shared" si="2"/>
        <v>3714.9607240527325</v>
      </c>
      <c r="J9" s="42">
        <f t="shared" si="3"/>
        <v>4127.734137836369</v>
      </c>
      <c r="K9" s="42">
        <f t="shared" si="4"/>
        <v>4643.7009050659153</v>
      </c>
      <c r="L9" s="42">
        <f t="shared" si="5"/>
        <v>5307.0867486467605</v>
      </c>
      <c r="M9" s="42">
        <f t="shared" si="0"/>
        <v>1.2</v>
      </c>
    </row>
    <row r="10" spans="2:13" ht="24" x14ac:dyDescent="0.25">
      <c r="B10" s="28" t="s">
        <v>6</v>
      </c>
      <c r="C10" s="42">
        <f>'Professores - Escola 12 Salas'!H30</f>
        <v>1573634.0170190248</v>
      </c>
      <c r="D10" s="42">
        <f>'Limpeza - Escola 12 salas'!J6</f>
        <v>109499.61532628666</v>
      </c>
      <c r="E10" s="42">
        <f t="shared" ref="E10:E13" si="6">788*4*13.33*1.22</f>
        <v>51259.715200000006</v>
      </c>
      <c r="F10" s="42">
        <f t="shared" ref="F10:F14" si="7">1000*3*13.33*1.22</f>
        <v>48787.799999999996</v>
      </c>
      <c r="G10" s="42">
        <f t="shared" si="1"/>
        <v>1783181.1475453116</v>
      </c>
      <c r="H10" s="43">
        <f>'Professores - Escola 12 Salas'!I30</f>
        <v>576</v>
      </c>
      <c r="I10" s="42">
        <f t="shared" si="2"/>
        <v>3095.8006033772772</v>
      </c>
      <c r="J10" s="42">
        <f t="shared" si="3"/>
        <v>3439.7784481969743</v>
      </c>
      <c r="K10" s="42">
        <f t="shared" si="4"/>
        <v>3869.7507542215963</v>
      </c>
      <c r="L10" s="42">
        <f t="shared" si="5"/>
        <v>4422.5722905389666</v>
      </c>
      <c r="M10" s="42">
        <f t="shared" si="0"/>
        <v>1</v>
      </c>
    </row>
    <row r="11" spans="2:13" ht="24" customHeight="1" x14ac:dyDescent="0.25">
      <c r="B11" s="29" t="s">
        <v>7</v>
      </c>
      <c r="C11" s="42">
        <f>'Professores - Escola 12 Salas'!H31</f>
        <v>1573634.0170190248</v>
      </c>
      <c r="D11" s="42">
        <f>'Limpeza - Escola 12 salas'!J6</f>
        <v>109499.61532628666</v>
      </c>
      <c r="E11" s="42">
        <f t="shared" si="6"/>
        <v>51259.715200000006</v>
      </c>
      <c r="F11" s="42">
        <f t="shared" si="7"/>
        <v>48787.799999999996</v>
      </c>
      <c r="G11" s="42">
        <f t="shared" si="1"/>
        <v>1783181.1475453116</v>
      </c>
      <c r="H11" s="43">
        <f>'Professores - Escola 12 Salas'!I31</f>
        <v>720</v>
      </c>
      <c r="I11" s="42">
        <f t="shared" si="2"/>
        <v>2476.6404827018218</v>
      </c>
      <c r="J11" s="42">
        <f t="shared" si="3"/>
        <v>2751.8227585575796</v>
      </c>
      <c r="K11" s="42">
        <f t="shared" si="4"/>
        <v>3095.8006033772772</v>
      </c>
      <c r="L11" s="42">
        <f t="shared" si="5"/>
        <v>3538.0578324311737</v>
      </c>
      <c r="M11" s="42">
        <f t="shared" si="0"/>
        <v>0.8</v>
      </c>
    </row>
    <row r="12" spans="2:13" ht="24" x14ac:dyDescent="0.25">
      <c r="B12" s="28" t="s">
        <v>8</v>
      </c>
      <c r="C12" s="42">
        <f>'Professores - Escola 12 Salas'!H32</f>
        <v>1101543.8119133173</v>
      </c>
      <c r="D12" s="42">
        <f>'Limpeza - Escola 12 salas'!J6</f>
        <v>109499.61532628666</v>
      </c>
      <c r="E12" s="42">
        <f t="shared" si="6"/>
        <v>51259.715200000006</v>
      </c>
      <c r="F12" s="42">
        <f t="shared" si="7"/>
        <v>48787.799999999996</v>
      </c>
      <c r="G12" s="42">
        <f t="shared" si="1"/>
        <v>1311090.9424396041</v>
      </c>
      <c r="H12" s="43">
        <f>'Professores - Escola 12 Salas'!I32</f>
        <v>360</v>
      </c>
      <c r="I12" s="42">
        <f t="shared" si="2"/>
        <v>3641.9192845544558</v>
      </c>
      <c r="J12" s="42">
        <f t="shared" si="3"/>
        <v>4046.576982838284</v>
      </c>
      <c r="K12" s="42">
        <f t="shared" si="4"/>
        <v>4552.3991056930699</v>
      </c>
      <c r="L12" s="42">
        <f t="shared" si="5"/>
        <v>5202.7418350777934</v>
      </c>
      <c r="M12" s="42">
        <f t="shared" si="0"/>
        <v>1.176406284235944</v>
      </c>
    </row>
    <row r="13" spans="2:13" x14ac:dyDescent="0.25">
      <c r="B13" s="29" t="s">
        <v>9</v>
      </c>
      <c r="C13" s="42">
        <f>'Professores - Escola 12 Salas'!H33</f>
        <v>1573634.0170190248</v>
      </c>
      <c r="D13" s="42">
        <f>'Limpeza - Escola 12 salas'!J6</f>
        <v>109499.61532628666</v>
      </c>
      <c r="E13" s="42">
        <f t="shared" si="6"/>
        <v>51259.715200000006</v>
      </c>
      <c r="F13" s="42">
        <f t="shared" si="7"/>
        <v>48787.799999999996</v>
      </c>
      <c r="G13" s="42">
        <f t="shared" si="1"/>
        <v>1783181.1475453116</v>
      </c>
      <c r="H13" s="43">
        <f>'Professores - Escola 12 Salas'!I33</f>
        <v>720</v>
      </c>
      <c r="I13" s="42">
        <f t="shared" si="2"/>
        <v>2476.6404827018218</v>
      </c>
      <c r="J13" s="42">
        <f t="shared" si="3"/>
        <v>2751.8227585575796</v>
      </c>
      <c r="K13" s="42">
        <f t="shared" si="4"/>
        <v>3095.8006033772772</v>
      </c>
      <c r="L13" s="42">
        <f t="shared" si="5"/>
        <v>3538.0578324311737</v>
      </c>
      <c r="M13" s="42">
        <f t="shared" si="0"/>
        <v>0.8</v>
      </c>
    </row>
    <row r="14" spans="2:13" x14ac:dyDescent="0.25">
      <c r="B14" s="28" t="s">
        <v>10</v>
      </c>
      <c r="C14" s="42">
        <f>'Professores - Escola 12 Salas'!H34</f>
        <v>1101543.8119133173</v>
      </c>
      <c r="D14" s="42">
        <f>'Limpeza - Escola 12 salas'!J6</f>
        <v>109499.61532628666</v>
      </c>
      <c r="E14" s="42">
        <f>788*3*13.33*1.22</f>
        <v>38444.786399999997</v>
      </c>
      <c r="F14" s="42">
        <f t="shared" si="7"/>
        <v>48787.799999999996</v>
      </c>
      <c r="G14" s="42">
        <f t="shared" si="1"/>
        <v>1298276.0136396042</v>
      </c>
      <c r="H14" s="43">
        <f>'Professores - Escola 12 Salas'!I34</f>
        <v>360</v>
      </c>
      <c r="I14" s="42">
        <f t="shared" si="2"/>
        <v>3606.3222601100115</v>
      </c>
      <c r="J14" s="42">
        <f t="shared" si="3"/>
        <v>4007.0247334555684</v>
      </c>
      <c r="K14" s="42">
        <f t="shared" si="4"/>
        <v>4507.9028251375139</v>
      </c>
      <c r="L14" s="42">
        <f t="shared" si="5"/>
        <v>5151.8889430143026</v>
      </c>
      <c r="M14" s="42">
        <f t="shared" si="0"/>
        <v>1.1649077967669477</v>
      </c>
    </row>
    <row r="15" spans="2:13" ht="15.75" x14ac:dyDescent="0.25">
      <c r="B15" s="3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7" spans="2:12" ht="15.75" x14ac:dyDescent="0.25">
      <c r="B17" s="94" t="s">
        <v>146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2:12" ht="78.75" x14ac:dyDescent="0.25">
      <c r="B18" s="61" t="s">
        <v>0</v>
      </c>
      <c r="C18" s="61" t="s">
        <v>136</v>
      </c>
      <c r="D18" s="61" t="s">
        <v>142</v>
      </c>
      <c r="E18" s="61" t="s">
        <v>143</v>
      </c>
      <c r="F18" s="61" t="s">
        <v>144</v>
      </c>
      <c r="G18" s="61" t="s">
        <v>135</v>
      </c>
      <c r="H18" s="61" t="s">
        <v>137</v>
      </c>
      <c r="I18" s="61" t="s">
        <v>138</v>
      </c>
      <c r="J18" s="61" t="s">
        <v>139</v>
      </c>
      <c r="K18" s="61" t="s">
        <v>140</v>
      </c>
      <c r="L18" s="61" t="s">
        <v>141</v>
      </c>
    </row>
    <row r="19" spans="2:12" x14ac:dyDescent="0.25">
      <c r="B19" s="28" t="s">
        <v>1</v>
      </c>
      <c r="C19" s="40"/>
      <c r="D19" s="40"/>
      <c r="E19" s="40"/>
      <c r="F19" s="40"/>
      <c r="G19" s="40"/>
      <c r="H19" s="33"/>
      <c r="I19" s="40"/>
      <c r="J19" s="40"/>
      <c r="K19" s="40"/>
      <c r="L19" s="40"/>
    </row>
    <row r="20" spans="2:12" x14ac:dyDescent="0.25">
      <c r="B20" s="29" t="s">
        <v>2</v>
      </c>
      <c r="C20" s="42">
        <f>'Professores - Escola 6 salas'!H25</f>
        <v>917953.17659443105</v>
      </c>
      <c r="D20" s="42">
        <f>'Limpeza - Creche 10 salas'!J6</f>
        <v>65200.339383113998</v>
      </c>
      <c r="E20" s="42">
        <f>788*13.33*1.22</f>
        <v>12814.928800000002</v>
      </c>
      <c r="F20" s="42">
        <f>1000*13.33*1.22</f>
        <v>16262.6</v>
      </c>
      <c r="G20" s="42">
        <f t="shared" ref="G20" si="8">SUM(C20:F20)</f>
        <v>1012231.044777545</v>
      </c>
      <c r="H20" s="43">
        <f>'Professores - Escola 6 salas'!I25</f>
        <v>130</v>
      </c>
      <c r="I20" s="42">
        <f>G20/H20</f>
        <v>7786.3926521349622</v>
      </c>
      <c r="J20" s="42">
        <f>G20*100/90/H20</f>
        <v>8651.5473912610687</v>
      </c>
      <c r="K20" s="42">
        <f>G20*100/80/H20</f>
        <v>9732.9908151687014</v>
      </c>
      <c r="L20" s="42">
        <f>G20*100/70/H20</f>
        <v>11123.418074478517</v>
      </c>
    </row>
    <row r="21" spans="2:12" x14ac:dyDescent="0.25">
      <c r="B21" s="28" t="s">
        <v>3</v>
      </c>
      <c r="C21" s="48"/>
      <c r="D21" s="48"/>
      <c r="E21" s="48"/>
      <c r="F21" s="48"/>
      <c r="G21" s="48"/>
      <c r="H21" s="33"/>
      <c r="I21" s="48"/>
      <c r="J21" s="48"/>
      <c r="K21" s="48"/>
      <c r="L21" s="48"/>
    </row>
    <row r="22" spans="2:12" x14ac:dyDescent="0.25">
      <c r="B22" s="29" t="s">
        <v>2</v>
      </c>
      <c r="C22" s="42">
        <f>'Professores - Escola 6 salas'!H27</f>
        <v>1311361.6808491873</v>
      </c>
      <c r="D22" s="42">
        <f>'Limpeza - Creche 10 salas'!J6</f>
        <v>65200.339383113998</v>
      </c>
      <c r="E22" s="42">
        <f>788*2*13.33*1.22</f>
        <v>25629.857600000003</v>
      </c>
      <c r="F22" s="42">
        <f>1000*2*13.33*1.22</f>
        <v>32525.200000000001</v>
      </c>
      <c r="G22" s="42">
        <f t="shared" ref="G22:G29" si="9">SUM(C22:F22)</f>
        <v>1434717.0778323011</v>
      </c>
      <c r="H22" s="43">
        <f>'Professores - Escola 6 salas'!I27</f>
        <v>260</v>
      </c>
      <c r="I22" s="42">
        <f>G22/H22</f>
        <v>5518.1426070473117</v>
      </c>
      <c r="J22" s="42">
        <f>G22*100/90/H22</f>
        <v>6131.2695633859021</v>
      </c>
      <c r="K22" s="42">
        <f>G22*100/80/H22</f>
        <v>6897.678258809141</v>
      </c>
      <c r="L22" s="42">
        <f>G22*100/70/H22</f>
        <v>7883.0608672104463</v>
      </c>
    </row>
    <row r="23" spans="2:12" x14ac:dyDescent="0.25">
      <c r="B23" s="28" t="s">
        <v>4</v>
      </c>
      <c r="C23" s="42">
        <f>'Professores - Escola 6 salas'!H28</f>
        <v>550771.90595665865</v>
      </c>
      <c r="D23" s="42">
        <f>'Limpeza - Escola 6 salas'!J6</f>
        <v>34138.596554443335</v>
      </c>
      <c r="E23" s="42">
        <f>788*13.33*1.22</f>
        <v>12814.928800000002</v>
      </c>
      <c r="F23" s="42">
        <f>1000*13.33*1.22</f>
        <v>16262.6</v>
      </c>
      <c r="G23" s="42">
        <f t="shared" si="9"/>
        <v>613988.03131110198</v>
      </c>
      <c r="H23" s="43">
        <f>'Professores - Escola 6 salas'!I28</f>
        <v>120</v>
      </c>
      <c r="I23" s="42">
        <f t="shared" ref="I23:I29" si="10">G23/H23</f>
        <v>5116.5669275925165</v>
      </c>
      <c r="J23" s="42">
        <f t="shared" ref="J23:J29" si="11">G23*100/90/H23</f>
        <v>5685.0743639916855</v>
      </c>
      <c r="K23" s="42">
        <f t="shared" ref="K23:K29" si="12">G23*100/80/H23</f>
        <v>6395.7086594906459</v>
      </c>
      <c r="L23" s="42">
        <f t="shared" ref="L23:L29" si="13">G23*100/70/H23</f>
        <v>7309.3813251321671</v>
      </c>
    </row>
    <row r="24" spans="2:12" x14ac:dyDescent="0.25">
      <c r="B24" s="29" t="s">
        <v>5</v>
      </c>
      <c r="C24" s="42">
        <f>'Professores - Escola 6 salas'!H29</f>
        <v>786817.00850951241</v>
      </c>
      <c r="D24" s="42">
        <f>'Limpeza - Escola 6 salas'!J6</f>
        <v>34138.596554443335</v>
      </c>
      <c r="E24" s="42">
        <f>788*2*13.33*1.22</f>
        <v>25629.857600000003</v>
      </c>
      <c r="F24" s="42">
        <f>1000*2*13.33*1.22</f>
        <v>32525.200000000001</v>
      </c>
      <c r="G24" s="42">
        <f t="shared" si="9"/>
        <v>879110.66266395571</v>
      </c>
      <c r="H24" s="43">
        <f>'Professores - Escola 6 salas'!I29</f>
        <v>240</v>
      </c>
      <c r="I24" s="42">
        <f t="shared" si="10"/>
        <v>3662.9610944331489</v>
      </c>
      <c r="J24" s="42">
        <f t="shared" si="11"/>
        <v>4069.9567715923872</v>
      </c>
      <c r="K24" s="42">
        <f t="shared" si="12"/>
        <v>4578.7013680414357</v>
      </c>
      <c r="L24" s="42">
        <f t="shared" si="13"/>
        <v>5232.8015634759267</v>
      </c>
    </row>
    <row r="25" spans="2:12" ht="24" x14ac:dyDescent="0.25">
      <c r="B25" s="28" t="s">
        <v>6</v>
      </c>
      <c r="C25" s="42">
        <f>'Professores - Escola 6 salas'!H30</f>
        <v>786817.00850951241</v>
      </c>
      <c r="D25" s="42">
        <f>'Limpeza - Escola 6 salas'!J6</f>
        <v>34138.596554443335</v>
      </c>
      <c r="E25" s="42">
        <f>788*3*13.33*1.22</f>
        <v>38444.786399999997</v>
      </c>
      <c r="F25" s="42">
        <f t="shared" ref="F25:F28" si="14">1000*3*13.33*1.22</f>
        <v>48787.799999999996</v>
      </c>
      <c r="G25" s="42">
        <f t="shared" si="9"/>
        <v>908188.19146395579</v>
      </c>
      <c r="H25" s="43">
        <f>'Professores - Escola 6 salas'!I30</f>
        <v>288</v>
      </c>
      <c r="I25" s="42">
        <f t="shared" si="10"/>
        <v>3153.4312203609575</v>
      </c>
      <c r="J25" s="42">
        <f t="shared" si="11"/>
        <v>3503.8124670677307</v>
      </c>
      <c r="K25" s="42">
        <f t="shared" si="12"/>
        <v>3941.7890254511972</v>
      </c>
      <c r="L25" s="42">
        <f t="shared" si="13"/>
        <v>4504.9017433727968</v>
      </c>
    </row>
    <row r="26" spans="2:12" ht="24" x14ac:dyDescent="0.25">
      <c r="B26" s="29" t="s">
        <v>7</v>
      </c>
      <c r="C26" s="42">
        <f>'Professores - Escola 6 salas'!H31</f>
        <v>786817.00850951241</v>
      </c>
      <c r="D26" s="42">
        <f>'Limpeza - Escola 6 salas'!J6</f>
        <v>34138.596554443335</v>
      </c>
      <c r="E26" s="42">
        <f>788*3*13.33*1.22</f>
        <v>38444.786399999997</v>
      </c>
      <c r="F26" s="42">
        <f t="shared" si="14"/>
        <v>48787.799999999996</v>
      </c>
      <c r="G26" s="42">
        <f t="shared" si="9"/>
        <v>908188.19146395579</v>
      </c>
      <c r="H26" s="43">
        <f>'Professores - Escola 6 salas'!I31</f>
        <v>360</v>
      </c>
      <c r="I26" s="42">
        <f t="shared" si="10"/>
        <v>2522.7449762887659</v>
      </c>
      <c r="J26" s="42">
        <f t="shared" si="11"/>
        <v>2803.0499736541847</v>
      </c>
      <c r="K26" s="42">
        <f t="shared" si="12"/>
        <v>3153.4312203609579</v>
      </c>
      <c r="L26" s="42">
        <f t="shared" si="13"/>
        <v>3603.9213946982372</v>
      </c>
    </row>
    <row r="27" spans="2:12" ht="24" x14ac:dyDescent="0.25">
      <c r="B27" s="28" t="s">
        <v>8</v>
      </c>
      <c r="C27" s="42">
        <f>'Professores - Escola 6 salas'!H32</f>
        <v>550771.90595665865</v>
      </c>
      <c r="D27" s="42">
        <f>'Limpeza - Escola 6 salas'!J6</f>
        <v>34138.596554443335</v>
      </c>
      <c r="E27" s="42">
        <f t="shared" ref="E27:E29" si="15">788*2*13.33*1.22</f>
        <v>25629.857600000003</v>
      </c>
      <c r="F27" s="42">
        <f>1000*2*13.33*1.22</f>
        <v>32525.200000000001</v>
      </c>
      <c r="G27" s="42">
        <f t="shared" si="9"/>
        <v>643065.56011110195</v>
      </c>
      <c r="H27" s="43">
        <f>'Professores - Escola 6 salas'!I32</f>
        <v>180</v>
      </c>
      <c r="I27" s="42">
        <f t="shared" si="10"/>
        <v>3572.5864450616773</v>
      </c>
      <c r="J27" s="42">
        <f t="shared" si="11"/>
        <v>3969.5404945129749</v>
      </c>
      <c r="K27" s="42">
        <f t="shared" si="12"/>
        <v>4465.7330563270962</v>
      </c>
      <c r="L27" s="42">
        <f t="shared" si="13"/>
        <v>5103.6949215166824</v>
      </c>
    </row>
    <row r="28" spans="2:12" x14ac:dyDescent="0.25">
      <c r="B28" s="29" t="s">
        <v>9</v>
      </c>
      <c r="C28" s="42">
        <f>'Professores - Escola 6 salas'!H33</f>
        <v>786817.00850951241</v>
      </c>
      <c r="D28" s="42">
        <f>'Limpeza - Escola 6 salas'!J6</f>
        <v>34138.596554443335</v>
      </c>
      <c r="E28" s="42">
        <f>788*3*13.33*1.22</f>
        <v>38444.786399999997</v>
      </c>
      <c r="F28" s="42">
        <f t="shared" si="14"/>
        <v>48787.799999999996</v>
      </c>
      <c r="G28" s="42">
        <f t="shared" si="9"/>
        <v>908188.19146395579</v>
      </c>
      <c r="H28" s="43">
        <f>'Professores - Escola 6 salas'!I33</f>
        <v>360</v>
      </c>
      <c r="I28" s="42">
        <f t="shared" si="10"/>
        <v>2522.7449762887659</v>
      </c>
      <c r="J28" s="42">
        <f t="shared" si="11"/>
        <v>2803.0499736541847</v>
      </c>
      <c r="K28" s="42">
        <f t="shared" si="12"/>
        <v>3153.4312203609579</v>
      </c>
      <c r="L28" s="42">
        <f t="shared" si="13"/>
        <v>3603.9213946982372</v>
      </c>
    </row>
    <row r="29" spans="2:12" x14ac:dyDescent="0.25">
      <c r="B29" s="28" t="s">
        <v>10</v>
      </c>
      <c r="C29" s="42">
        <f>'Professores - Escola 6 salas'!H34</f>
        <v>550771.90595665865</v>
      </c>
      <c r="D29" s="42">
        <f>'Limpeza - Escola 6 salas'!J6</f>
        <v>34138.596554443335</v>
      </c>
      <c r="E29" s="42">
        <f t="shared" si="15"/>
        <v>25629.857600000003</v>
      </c>
      <c r="F29" s="42">
        <f>1000*2*13.33*1.22</f>
        <v>32525.200000000001</v>
      </c>
      <c r="G29" s="42">
        <f t="shared" si="9"/>
        <v>643065.56011110195</v>
      </c>
      <c r="H29" s="43">
        <f>'Professores - Escola 6 salas'!I34</f>
        <v>180</v>
      </c>
      <c r="I29" s="42">
        <f t="shared" si="10"/>
        <v>3572.5864450616773</v>
      </c>
      <c r="J29" s="42">
        <f t="shared" si="11"/>
        <v>3969.5404945129749</v>
      </c>
      <c r="K29" s="42">
        <f t="shared" si="12"/>
        <v>4465.7330563270962</v>
      </c>
      <c r="L29" s="42">
        <f t="shared" si="13"/>
        <v>5103.6949215166824</v>
      </c>
    </row>
    <row r="30" spans="2:12" ht="15.75" x14ac:dyDescent="0.25">
      <c r="B30" s="30"/>
      <c r="C30" s="40"/>
      <c r="D30" s="40"/>
      <c r="E30" s="40"/>
      <c r="F30" s="40"/>
      <c r="G30" s="40"/>
      <c r="H30" s="40"/>
      <c r="I30" s="40"/>
      <c r="J30" s="40"/>
      <c r="K30" s="40"/>
      <c r="L30" s="40"/>
    </row>
  </sheetData>
  <mergeCells count="2">
    <mergeCell ref="B17:L17"/>
    <mergeCell ref="B2:M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Professores - Escola 12 Salas</vt:lpstr>
      <vt:lpstr>Professores - Escola 6 salas</vt:lpstr>
      <vt:lpstr>Limpeza - Escola 12 salas</vt:lpstr>
      <vt:lpstr>Limpeza - Escola 6 salas</vt:lpstr>
      <vt:lpstr>Limpeza - Creche 10 salas</vt:lpstr>
      <vt:lpstr>Custo Consolidado</vt:lpstr>
      <vt:lpstr>fator_padrão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Gabriel Picanço Montejo</dc:creator>
  <cp:lastModifiedBy>Pedro Gabriel Picanço Montejo</cp:lastModifiedBy>
  <dcterms:created xsi:type="dcterms:W3CDTF">2015-09-25T20:11:14Z</dcterms:created>
  <dcterms:modified xsi:type="dcterms:W3CDTF">2016-08-05T15:05:33Z</dcterms:modified>
</cp:coreProperties>
</file>